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976" tabRatio="884" activeTab="0"/>
  </bookViews>
  <sheets>
    <sheet name="Rodillo" sheetId="1" r:id="rId1"/>
    <sheet name="Metodología" sheetId="2" r:id="rId2"/>
  </sheets>
  <definedNames>
    <definedName name="_xlnm.Print_Area" localSheetId="1">'Metodología'!$A$1:$A$32</definedName>
    <definedName name="_xlnm.Print_Area" localSheetId="0">'Rodillo'!$A$1:$K$68</definedName>
  </definedNames>
  <calcPr fullCalcOnLoad="1"/>
</workbook>
</file>

<file path=xl/sharedStrings.xml><?xml version="1.0" encoding="utf-8"?>
<sst xmlns="http://schemas.openxmlformats.org/spreadsheetml/2006/main" count="164" uniqueCount="121">
  <si>
    <t>OPERACIÓN:</t>
  </si>
  <si>
    <t xml:space="preserve">APERO: </t>
  </si>
  <si>
    <t>Baja</t>
  </si>
  <si>
    <t>Media</t>
  </si>
  <si>
    <t>m</t>
  </si>
  <si>
    <t>Alta</t>
  </si>
  <si>
    <t>km/h</t>
  </si>
  <si>
    <t>kg</t>
  </si>
  <si>
    <t>Eficiencia de trabajo</t>
  </si>
  <si>
    <t>h/ha</t>
  </si>
  <si>
    <t>Eficiencia</t>
  </si>
  <si>
    <t>ha/h</t>
  </si>
  <si>
    <t>Nivel de carga de trabajo (%)</t>
  </si>
  <si>
    <t>CV</t>
  </si>
  <si>
    <t>%</t>
  </si>
  <si>
    <t>Potencia tractor necesaria</t>
  </si>
  <si>
    <t>Nivel potencia tractor (CV)</t>
  </si>
  <si>
    <t>Mediano</t>
  </si>
  <si>
    <t>Grande</t>
  </si>
  <si>
    <t>Muy grande</t>
  </si>
  <si>
    <t>Consumo de combustible</t>
  </si>
  <si>
    <t>Consumo combustible</t>
  </si>
  <si>
    <t>Consumo de aceite</t>
  </si>
  <si>
    <t>Carga</t>
  </si>
  <si>
    <t>Horas trabajo anuales</t>
  </si>
  <si>
    <t>h/año</t>
  </si>
  <si>
    <t>Precio adquisición</t>
  </si>
  <si>
    <t>€</t>
  </si>
  <si>
    <t>amort. - desgaste</t>
  </si>
  <si>
    <t>h</t>
  </si>
  <si>
    <t>€/h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</si>
  <si>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</si>
  <si>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</si>
  <si>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</si>
  <si>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</si>
  <si>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</si>
  <si>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</si>
  <si>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</si>
  <si>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€/ha</t>
  </si>
  <si>
    <t>Coste total</t>
  </si>
  <si>
    <t>ha/año</t>
  </si>
  <si>
    <t>Tractor auxiliar</t>
  </si>
  <si>
    <t>kW</t>
  </si>
  <si>
    <t>horas</t>
  </si>
  <si>
    <t>€/L</t>
  </si>
  <si>
    <t>€/kW</t>
  </si>
  <si>
    <t>Seguros</t>
  </si>
  <si>
    <t>Resguardo</t>
  </si>
  <si>
    <t>L/h-kW</t>
  </si>
  <si>
    <t>L/h</t>
  </si>
  <si>
    <t>Velocidad de trabajo</t>
  </si>
  <si>
    <t>Potencia de tracción</t>
  </si>
  <si>
    <t>consumos</t>
  </si>
  <si>
    <t>anchura alta</t>
  </si>
  <si>
    <t>anchura normal</t>
  </si>
  <si>
    <t>RESULTADOS MAPA</t>
  </si>
  <si>
    <t>Anchura apero (m)</t>
  </si>
  <si>
    <t>Nivel de carga del tractor</t>
  </si>
  <si>
    <t>Potencia necesaria</t>
  </si>
  <si>
    <t>Pequeño</t>
  </si>
  <si>
    <t>Coef. Esfuerzo tracción</t>
  </si>
  <si>
    <t>Bajo</t>
  </si>
  <si>
    <t>Medio</t>
  </si>
  <si>
    <t>Alto</t>
  </si>
  <si>
    <t>Anchura trabajo apero</t>
  </si>
  <si>
    <t>COSTES DE UTILIZACIÓN</t>
  </si>
  <si>
    <t>COSTES DE POSESIÓN</t>
  </si>
  <si>
    <t>Coste gasóleo</t>
  </si>
  <si>
    <t>L/ha</t>
  </si>
  <si>
    <t>Coste combustible</t>
  </si>
  <si>
    <t>Capacidad trabajo teórica</t>
  </si>
  <si>
    <t>Capacidad trabajo real</t>
  </si>
  <si>
    <t>Factor (L/h-kW)</t>
  </si>
  <si>
    <t>No hay datos de ASAE</t>
  </si>
  <si>
    <t>Pot a la barra i/rod+desliz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</si>
  <si>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</si>
  <si>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</si>
  <si>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</si>
  <si>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</si>
  <si>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</si>
  <si>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</si>
  <si>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</si>
  <si>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AUXILIAR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</si>
  <si>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</si>
  <si>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</si>
  <si>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</si>
  <si>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</si>
  <si>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</si>
  <si>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</si>
  <si>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</si>
  <si>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</si>
  <si>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 xml:space="preserve"> +combustible</t>
  </si>
  <si>
    <t>TRACTOR + APERO</t>
  </si>
  <si>
    <t>Los datos de partida de esta operación son los siguientes:</t>
  </si>
  <si>
    <t>Las hipótesis establecidas para el cálculo de los costes son las siguientes:</t>
  </si>
  <si>
    <t>Utilización anual apero: En función de las horas de trabajo anuales elegidas y de la capacidad de trabajo se obtiene la superficie anual trabajada por el apero en ha/año.</t>
  </si>
  <si>
    <t xml:space="preserve"> €/kW de potencia</t>
  </si>
  <si>
    <t>Precio adquisición tractor</t>
  </si>
  <si>
    <t>-          Eficiencia de la operación: Baja, media o alta (se recomienda escoger media para esta operación puesto que es la situación más habitual)</t>
  </si>
  <si>
    <t>-          Nivel de carga del tractor: Bajo, medio o alto (se recomienda poner un nivel bajo para esta operación)</t>
  </si>
  <si>
    <t>-          Velocidad de trabajo: Es un tomado de las velocidades recomendadas de trabajo.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</si>
  <si>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</si>
  <si>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</si>
  <si>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(40 h/año) y alta (80 h/año)</t>
  </si>
  <si>
    <t>-          Amortización por desgaste: 800  h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</si>
  <si>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</si>
  <si>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</si>
  <si>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</si>
  <si>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Mantenimiento y reparaciones: 0,30 €/ha</t>
  </si>
  <si>
    <t>-          Utilización anual tractor auxiliar: Se han estimado dos rangos diferentes de trabajo, 500 y 1.000 h/año.</t>
  </si>
  <si>
    <t>-          Coste de combustible: 1,00 €/L</t>
  </si>
  <si>
    <t>kg/m</t>
  </si>
  <si>
    <t>Asentado del suelo</t>
  </si>
  <si>
    <t>Rodillo</t>
  </si>
  <si>
    <t>Peso apero</t>
  </si>
  <si>
    <t>€/m</t>
  </si>
  <si>
    <t>Rodillo asentador</t>
  </si>
  <si>
    <t>-          Anchura de trabajo del apero: Alta (8 m), media (5 m) y baja (13 m).</t>
  </si>
  <si>
    <t>-          Coeficiente de esfuerzo de tracción: Se ha tomado un valor de 0,4 (coeficiente de resistencia a la rodadura).</t>
  </si>
  <si>
    <t>-          Precio de adquisición: Estimado en 500 € por medro de anchura de trabajo</t>
  </si>
  <si>
    <t>-          Interés: 5 %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</si>
</sst>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22"/>
      <name val="Arial"/>
      <family val="0"/>
    </font>
    <font>
      <sz val="11"/>
      <color indexed="12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sz val="11"/>
      <color indexed="9"/>
      <name val="Arial"/>
      <family val="0"/>
    </font>
    <font>
      <b/>
      <sz val="11"/>
      <color indexed="42"/>
      <name val="Arial"/>
      <family val="0"/>
    </font>
    <font>
      <sz val="11"/>
      <color indexed="42"/>
      <name val="Arial"/>
      <family val="0"/>
    </font>
    <font>
      <sz val="11"/>
      <color indexed="2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color indexed="9"/>
      <name val="Arial"/>
      <family val="0"/>
    </font>
    <font>
      <b/>
      <u val="single"/>
      <sz val="11"/>
      <color indexed="9"/>
      <name val="Arial"/>
      <family val="0"/>
    </font>
    <font>
      <b/>
      <sz val="11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3" fontId="7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 applyProtection="1">
      <alignment horizontal="center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>
      <alignment horizontal="right"/>
    </xf>
    <xf numFmtId="0" fontId="8" fillId="0" borderId="0" xfId="0" applyFont="1" applyFill="1" applyAlignment="1">
      <alignment/>
    </xf>
    <xf numFmtId="2" fontId="4" fillId="0" borderId="10" xfId="0" applyNumberFormat="1" applyFont="1" applyBorder="1" applyAlignment="1" applyProtection="1">
      <alignment horizontal="center" vertical="center"/>
      <protection hidden="1"/>
    </xf>
    <xf numFmtId="2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/>
      <protection hidden="1"/>
    </xf>
    <xf numFmtId="4" fontId="4" fillId="0" borderId="10" xfId="0" applyNumberFormat="1" applyFont="1" applyBorder="1" applyAlignment="1" applyProtection="1">
      <alignment horizontal="center" vertical="center"/>
      <protection hidden="1"/>
    </xf>
    <xf numFmtId="2" fontId="9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" fontId="4" fillId="34" borderId="11" xfId="0" applyNumberFormat="1" applyFont="1" applyFill="1" applyBorder="1" applyAlignment="1" applyProtection="1">
      <alignment horizontal="center"/>
      <protection hidden="1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3" fontId="4" fillId="34" borderId="0" xfId="0" applyNumberFormat="1" applyFont="1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center"/>
    </xf>
    <xf numFmtId="1" fontId="4" fillId="34" borderId="0" xfId="0" applyNumberFormat="1" applyFont="1" applyFill="1" applyBorder="1" applyAlignment="1" applyProtection="1">
      <alignment horizontal="center"/>
      <protection hidden="1"/>
    </xf>
    <xf numFmtId="2" fontId="4" fillId="34" borderId="0" xfId="0" applyNumberFormat="1" applyFont="1" applyFill="1" applyBorder="1" applyAlignment="1" applyProtection="1">
      <alignment horizontal="center"/>
      <protection hidden="1"/>
    </xf>
    <xf numFmtId="0" fontId="8" fillId="34" borderId="13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2" fontId="9" fillId="34" borderId="0" xfId="0" applyNumberFormat="1" applyFont="1" applyFill="1" applyBorder="1" applyAlignment="1" applyProtection="1">
      <alignment horizontal="center"/>
      <protection hidden="1"/>
    </xf>
    <xf numFmtId="0" fontId="8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 applyProtection="1">
      <alignment horizontal="center"/>
      <protection hidden="1"/>
    </xf>
    <xf numFmtId="0" fontId="5" fillId="34" borderId="16" xfId="0" applyFont="1" applyFill="1" applyBorder="1" applyAlignment="1">
      <alignment horizontal="center"/>
    </xf>
    <xf numFmtId="2" fontId="4" fillId="34" borderId="11" xfId="0" applyNumberFormat="1" applyFont="1" applyFill="1" applyBorder="1" applyAlignment="1" applyProtection="1">
      <alignment horizontal="center"/>
      <protection hidden="1"/>
    </xf>
    <xf numFmtId="165" fontId="4" fillId="34" borderId="0" xfId="0" applyNumberFormat="1" applyFont="1" applyFill="1" applyBorder="1" applyAlignment="1" applyProtection="1">
      <alignment horizontal="center"/>
      <protection hidden="1"/>
    </xf>
    <xf numFmtId="164" fontId="9" fillId="34" borderId="0" xfId="0" applyNumberFormat="1" applyFont="1" applyFill="1" applyBorder="1" applyAlignment="1" applyProtection="1">
      <alignment horizontal="center"/>
      <protection hidden="1"/>
    </xf>
    <xf numFmtId="0" fontId="8" fillId="34" borderId="17" xfId="0" applyFont="1" applyFill="1" applyBorder="1" applyAlignment="1">
      <alignment horizontal="left"/>
    </xf>
    <xf numFmtId="0" fontId="8" fillId="34" borderId="15" xfId="0" applyFont="1" applyFill="1" applyBorder="1" applyAlignment="1">
      <alignment horizontal="left"/>
    </xf>
    <xf numFmtId="164" fontId="9" fillId="34" borderId="15" xfId="0" applyNumberFormat="1" applyFont="1" applyFill="1" applyBorder="1" applyAlignment="1" applyProtection="1">
      <alignment horizontal="center"/>
      <protection hidden="1"/>
    </xf>
    <xf numFmtId="0" fontId="4" fillId="34" borderId="11" xfId="0" applyFont="1" applyFill="1" applyBorder="1" applyAlignment="1" applyProtection="1">
      <alignment horizontal="center"/>
      <protection hidden="1"/>
    </xf>
    <xf numFmtId="0" fontId="5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2" fontId="8" fillId="34" borderId="15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2" fontId="4" fillId="34" borderId="18" xfId="0" applyNumberFormat="1" applyFont="1" applyFill="1" applyBorder="1" applyAlignment="1" applyProtection="1">
      <alignment horizontal="center"/>
      <protection hidden="1"/>
    </xf>
    <xf numFmtId="3" fontId="5" fillId="35" borderId="14" xfId="0" applyNumberFormat="1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vertical="center"/>
    </xf>
    <xf numFmtId="0" fontId="6" fillId="35" borderId="14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165" fontId="4" fillId="35" borderId="14" xfId="0" applyNumberFormat="1" applyFont="1" applyFill="1" applyBorder="1" applyAlignment="1" applyProtection="1">
      <alignment horizontal="center"/>
      <protection/>
    </xf>
    <xf numFmtId="3" fontId="4" fillId="35" borderId="14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8" fillId="34" borderId="19" xfId="0" applyFont="1" applyFill="1" applyBorder="1" applyAlignment="1">
      <alignment horizontal="left"/>
    </xf>
    <xf numFmtId="0" fontId="4" fillId="36" borderId="20" xfId="0" applyFont="1" applyFill="1" applyBorder="1" applyAlignment="1" applyProtection="1">
      <alignment horizontal="center"/>
      <protection hidden="1"/>
    </xf>
    <xf numFmtId="0" fontId="4" fillId="36" borderId="21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20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4" borderId="0" xfId="0" applyFill="1" applyAlignment="1">
      <alignment/>
    </xf>
    <xf numFmtId="2" fontId="7" fillId="34" borderId="18" xfId="0" applyNumberFormat="1" applyFont="1" applyFill="1" applyBorder="1" applyAlignment="1" applyProtection="1">
      <alignment horizontal="center"/>
      <protection hidden="1" locked="0"/>
    </xf>
    <xf numFmtId="0" fontId="7" fillId="34" borderId="0" xfId="0" applyFont="1" applyFill="1" applyBorder="1" applyAlignment="1" applyProtection="1">
      <alignment horizontal="center"/>
      <protection hidden="1" locked="0"/>
    </xf>
    <xf numFmtId="49" fontId="0" fillId="34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34" borderId="0" xfId="0" applyNumberFormat="1" applyFill="1" applyAlignment="1">
      <alignment wrapText="1"/>
    </xf>
    <xf numFmtId="49" fontId="0" fillId="0" borderId="0" xfId="0" applyNumberFormat="1" applyAlignment="1">
      <alignment wrapText="1"/>
    </xf>
    <xf numFmtId="49" fontId="0" fillId="34" borderId="0" xfId="0" applyNumberFormat="1" applyFill="1" applyAlignment="1">
      <alignment horizontal="justify" wrapText="1"/>
    </xf>
    <xf numFmtId="49" fontId="0" fillId="34" borderId="0" xfId="0" applyNumberFormat="1" applyFill="1" applyAlignment="1">
      <alignment horizontal="justify"/>
    </xf>
    <xf numFmtId="0" fontId="0" fillId="34" borderId="0" xfId="0" applyFill="1" applyAlignment="1">
      <alignment horizontal="justify"/>
    </xf>
    <xf numFmtId="0" fontId="0" fillId="0" borderId="0" xfId="0" applyAlignment="1">
      <alignment horizontal="justify"/>
    </xf>
    <xf numFmtId="0" fontId="4" fillId="35" borderId="22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top"/>
    </xf>
    <xf numFmtId="0" fontId="5" fillId="35" borderId="0" xfId="0" applyFont="1" applyFill="1" applyBorder="1" applyAlignment="1">
      <alignment vertical="top" wrapText="1"/>
    </xf>
    <xf numFmtId="0" fontId="5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/>
      <protection hidden="1"/>
    </xf>
    <xf numFmtId="0" fontId="8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right"/>
    </xf>
    <xf numFmtId="0" fontId="4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8" fillId="35" borderId="15" xfId="0" applyFont="1" applyFill="1" applyBorder="1" applyAlignment="1">
      <alignment horizontal="right"/>
    </xf>
    <xf numFmtId="0" fontId="4" fillId="35" borderId="15" xfId="0" applyFont="1" applyFill="1" applyBorder="1" applyAlignment="1">
      <alignment horizontal="center"/>
    </xf>
    <xf numFmtId="2" fontId="9" fillId="35" borderId="15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2" fontId="13" fillId="34" borderId="18" xfId="0" applyNumberFormat="1" applyFont="1" applyFill="1" applyBorder="1" applyAlignment="1" applyProtection="1">
      <alignment horizontal="center"/>
      <protection hidden="1" locked="0"/>
    </xf>
    <xf numFmtId="49" fontId="14" fillId="35" borderId="0" xfId="0" applyNumberFormat="1" applyFont="1" applyFill="1" applyAlignment="1">
      <alignment horizontal="left"/>
    </xf>
    <xf numFmtId="49" fontId="15" fillId="35" borderId="0" xfId="0" applyNumberFormat="1" applyFont="1" applyFill="1" applyAlignment="1">
      <alignment horizontal="left"/>
    </xf>
    <xf numFmtId="49" fontId="14" fillId="35" borderId="0" xfId="0" applyNumberFormat="1" applyFont="1" applyFill="1" applyAlignment="1">
      <alignment horizontal="left" wrapText="1"/>
    </xf>
    <xf numFmtId="0" fontId="7" fillId="34" borderId="0" xfId="0" applyFont="1" applyFill="1" applyBorder="1" applyAlignment="1">
      <alignment horizontal="center"/>
    </xf>
    <xf numFmtId="0" fontId="7" fillId="35" borderId="0" xfId="0" applyFont="1" applyFill="1" applyBorder="1" applyAlignment="1" applyProtection="1">
      <alignment horizontal="center"/>
      <protection locked="0"/>
    </xf>
    <xf numFmtId="2" fontId="4" fillId="0" borderId="10" xfId="0" applyNumberFormat="1" applyFont="1" applyBorder="1" applyAlignment="1">
      <alignment horizontal="center"/>
    </xf>
    <xf numFmtId="0" fontId="4" fillId="35" borderId="0" xfId="0" applyFont="1" applyFill="1" applyAlignment="1">
      <alignment/>
    </xf>
    <xf numFmtId="3" fontId="7" fillId="34" borderId="10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 applyProtection="1">
      <alignment horizontal="center"/>
      <protection locked="0"/>
    </xf>
    <xf numFmtId="0" fontId="5" fillId="34" borderId="23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165" fontId="16" fillId="0" borderId="0" xfId="0" applyNumberFormat="1" applyFont="1" applyFill="1" applyBorder="1" applyAlignment="1" applyProtection="1">
      <alignment horizontal="center"/>
      <protection locked="0"/>
    </xf>
    <xf numFmtId="0" fontId="8" fillId="34" borderId="16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/>
    </xf>
    <xf numFmtId="0" fontId="5" fillId="34" borderId="22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6" borderId="24" xfId="0" applyFont="1" applyFill="1" applyBorder="1" applyAlignment="1">
      <alignment horizontal="left"/>
    </xf>
    <xf numFmtId="0" fontId="5" fillId="36" borderId="2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/>
    </xf>
    <xf numFmtId="0" fontId="5" fillId="0" borderId="24" xfId="0" applyFont="1" applyFill="1" applyBorder="1" applyAlignment="1" applyProtection="1">
      <alignment horizontal="center"/>
      <protection hidden="1"/>
    </xf>
    <xf numFmtId="0" fontId="5" fillId="0" borderId="21" xfId="0" applyFont="1" applyFill="1" applyBorder="1" applyAlignment="1" applyProtection="1">
      <alignment horizontal="center"/>
      <protection hidden="1"/>
    </xf>
    <xf numFmtId="0" fontId="8" fillId="34" borderId="13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2" fontId="10" fillId="37" borderId="24" xfId="0" applyNumberFormat="1" applyFont="1" applyFill="1" applyBorder="1" applyAlignment="1" applyProtection="1">
      <alignment horizontal="center" vertical="center"/>
      <protection hidden="1"/>
    </xf>
    <xf numFmtId="2" fontId="10" fillId="37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>
      <alignment horizontal="center"/>
    </xf>
    <xf numFmtId="0" fontId="5" fillId="38" borderId="20" xfId="0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0" fillId="37" borderId="24" xfId="0" applyFont="1" applyFill="1" applyBorder="1" applyAlignment="1">
      <alignment horizontal="center"/>
    </xf>
    <xf numFmtId="0" fontId="10" fillId="37" borderId="21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5.emf" /><Relationship Id="rId3" Type="http://schemas.openxmlformats.org/officeDocument/2006/relationships/image" Target="../media/image19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15.emf" /><Relationship Id="rId7" Type="http://schemas.openxmlformats.org/officeDocument/2006/relationships/image" Target="../media/image7.emf" /><Relationship Id="rId8" Type="http://schemas.openxmlformats.org/officeDocument/2006/relationships/image" Target="../media/image17.emf" /><Relationship Id="rId9" Type="http://schemas.openxmlformats.org/officeDocument/2006/relationships/image" Target="../media/image12.emf" /><Relationship Id="rId10" Type="http://schemas.openxmlformats.org/officeDocument/2006/relationships/image" Target="../media/image4.emf" /><Relationship Id="rId11" Type="http://schemas.openxmlformats.org/officeDocument/2006/relationships/image" Target="../media/image18.emf" /><Relationship Id="rId12" Type="http://schemas.openxmlformats.org/officeDocument/2006/relationships/image" Target="../media/image9.emf" /><Relationship Id="rId13" Type="http://schemas.openxmlformats.org/officeDocument/2006/relationships/image" Target="../media/image10.emf" /><Relationship Id="rId14" Type="http://schemas.openxmlformats.org/officeDocument/2006/relationships/image" Target="../media/image16.emf" /><Relationship Id="rId15" Type="http://schemas.openxmlformats.org/officeDocument/2006/relationships/image" Target="../media/image11.emf" /><Relationship Id="rId16" Type="http://schemas.openxmlformats.org/officeDocument/2006/relationships/image" Target="../media/image8.emf" /><Relationship Id="rId17" Type="http://schemas.openxmlformats.org/officeDocument/2006/relationships/image" Target="../media/image6.emf" /><Relationship Id="rId18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7</xdr:row>
      <xdr:rowOff>19050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67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17</xdr:row>
      <xdr:rowOff>38100</xdr:rowOff>
    </xdr:from>
    <xdr:to>
      <xdr:col>7</xdr:col>
      <xdr:colOff>219075</xdr:colOff>
      <xdr:row>18</xdr:row>
      <xdr:rowOff>19050</xdr:rowOff>
    </xdr:to>
    <xdr:pic>
      <xdr:nvPicPr>
        <xdr:cNvPr id="2" name="Optio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2952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18</xdr:row>
      <xdr:rowOff>19050</xdr:rowOff>
    </xdr:from>
    <xdr:to>
      <xdr:col>7</xdr:col>
      <xdr:colOff>209550</xdr:colOff>
      <xdr:row>19</xdr:row>
      <xdr:rowOff>0</xdr:rowOff>
    </xdr:to>
    <xdr:pic>
      <xdr:nvPicPr>
        <xdr:cNvPr id="3" name="Optio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31051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19</xdr:row>
      <xdr:rowOff>19050</xdr:rowOff>
    </xdr:from>
    <xdr:to>
      <xdr:col>7</xdr:col>
      <xdr:colOff>209550</xdr:colOff>
      <xdr:row>20</xdr:row>
      <xdr:rowOff>0</xdr:rowOff>
    </xdr:to>
    <xdr:pic>
      <xdr:nvPicPr>
        <xdr:cNvPr id="4" name="Option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0" y="32766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22</xdr:row>
      <xdr:rowOff>38100</xdr:rowOff>
    </xdr:from>
    <xdr:to>
      <xdr:col>7</xdr:col>
      <xdr:colOff>228600</xdr:colOff>
      <xdr:row>23</xdr:row>
      <xdr:rowOff>19050</xdr:rowOff>
    </xdr:to>
    <xdr:pic>
      <xdr:nvPicPr>
        <xdr:cNvPr id="5" name="Option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81550" y="3810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23</xdr:row>
      <xdr:rowOff>38100</xdr:rowOff>
    </xdr:from>
    <xdr:to>
      <xdr:col>7</xdr:col>
      <xdr:colOff>228600</xdr:colOff>
      <xdr:row>23</xdr:row>
      <xdr:rowOff>161925</xdr:rowOff>
    </xdr:to>
    <xdr:pic>
      <xdr:nvPicPr>
        <xdr:cNvPr id="6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81550" y="39814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24</xdr:row>
      <xdr:rowOff>38100</xdr:rowOff>
    </xdr:from>
    <xdr:to>
      <xdr:col>7</xdr:col>
      <xdr:colOff>228600</xdr:colOff>
      <xdr:row>24</xdr:row>
      <xdr:rowOff>161925</xdr:rowOff>
    </xdr:to>
    <xdr:pic>
      <xdr:nvPicPr>
        <xdr:cNvPr id="7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81550" y="41529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12</xdr:row>
      <xdr:rowOff>9525</xdr:rowOff>
    </xdr:from>
    <xdr:to>
      <xdr:col>7</xdr:col>
      <xdr:colOff>219075</xdr:colOff>
      <xdr:row>12</xdr:row>
      <xdr:rowOff>161925</xdr:rowOff>
    </xdr:to>
    <xdr:pic>
      <xdr:nvPicPr>
        <xdr:cNvPr id="8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2066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13</xdr:row>
      <xdr:rowOff>0</xdr:rowOff>
    </xdr:from>
    <xdr:to>
      <xdr:col>7</xdr:col>
      <xdr:colOff>200025</xdr:colOff>
      <xdr:row>13</xdr:row>
      <xdr:rowOff>152400</xdr:rowOff>
    </xdr:to>
    <xdr:pic>
      <xdr:nvPicPr>
        <xdr:cNvPr id="9" name="Optio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22288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27</xdr:row>
      <xdr:rowOff>38100</xdr:rowOff>
    </xdr:from>
    <xdr:to>
      <xdr:col>7</xdr:col>
      <xdr:colOff>219075</xdr:colOff>
      <xdr:row>28</xdr:row>
      <xdr:rowOff>19050</xdr:rowOff>
    </xdr:to>
    <xdr:pic>
      <xdr:nvPicPr>
        <xdr:cNvPr id="10" name="Option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4667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28</xdr:row>
      <xdr:rowOff>38100</xdr:rowOff>
    </xdr:from>
    <xdr:to>
      <xdr:col>7</xdr:col>
      <xdr:colOff>209550</xdr:colOff>
      <xdr:row>29</xdr:row>
      <xdr:rowOff>9525</xdr:rowOff>
    </xdr:to>
    <xdr:pic>
      <xdr:nvPicPr>
        <xdr:cNvPr id="11" name="OptionButton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4838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29</xdr:row>
      <xdr:rowOff>9525</xdr:rowOff>
    </xdr:from>
    <xdr:to>
      <xdr:col>7</xdr:col>
      <xdr:colOff>219075</xdr:colOff>
      <xdr:row>30</xdr:row>
      <xdr:rowOff>19050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72025" y="49815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30</xdr:row>
      <xdr:rowOff>9525</xdr:rowOff>
    </xdr:from>
    <xdr:to>
      <xdr:col>7</xdr:col>
      <xdr:colOff>209550</xdr:colOff>
      <xdr:row>30</xdr:row>
      <xdr:rowOff>133350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00" y="51435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59</xdr:row>
      <xdr:rowOff>9525</xdr:rowOff>
    </xdr:from>
    <xdr:to>
      <xdr:col>1</xdr:col>
      <xdr:colOff>257175</xdr:colOff>
      <xdr:row>60</xdr:row>
      <xdr:rowOff>0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4325" y="10315575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60</xdr:row>
      <xdr:rowOff>9525</xdr:rowOff>
    </xdr:from>
    <xdr:to>
      <xdr:col>1</xdr:col>
      <xdr:colOff>257175</xdr:colOff>
      <xdr:row>60</xdr:row>
      <xdr:rowOff>152400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4325" y="105346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44</xdr:row>
      <xdr:rowOff>19050</xdr:rowOff>
    </xdr:from>
    <xdr:to>
      <xdr:col>7</xdr:col>
      <xdr:colOff>238125</xdr:colOff>
      <xdr:row>45</xdr:row>
      <xdr:rowOff>9525</xdr:rowOff>
    </xdr:to>
    <xdr:pic>
      <xdr:nvPicPr>
        <xdr:cNvPr id="16" name="OptionButton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91075" y="75628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45</xdr:row>
      <xdr:rowOff>38100</xdr:rowOff>
    </xdr:from>
    <xdr:to>
      <xdr:col>7</xdr:col>
      <xdr:colOff>238125</xdr:colOff>
      <xdr:row>46</xdr:row>
      <xdr:rowOff>19050</xdr:rowOff>
    </xdr:to>
    <xdr:pic>
      <xdr:nvPicPr>
        <xdr:cNvPr id="17" name="OptionButton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91075" y="77533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14</xdr:row>
      <xdr:rowOff>9525</xdr:rowOff>
    </xdr:from>
    <xdr:to>
      <xdr:col>7</xdr:col>
      <xdr:colOff>209550</xdr:colOff>
      <xdr:row>15</xdr:row>
      <xdr:rowOff>0</xdr:rowOff>
    </xdr:to>
    <xdr:pic>
      <xdr:nvPicPr>
        <xdr:cNvPr id="18" name="Option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72025" y="24098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7</xdr:row>
      <xdr:rowOff>19050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62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AH74"/>
  <sheetViews>
    <sheetView showZeros="0" tabSelected="1" zoomScalePageLayoutView="0" workbookViewId="0" topLeftCell="A4">
      <selection activeCell="A8" sqref="A8"/>
    </sheetView>
  </sheetViews>
  <sheetFormatPr defaultColWidth="11.421875" defaultRowHeight="12.75"/>
  <cols>
    <col min="1" max="1" width="2.8515625" style="1" customWidth="1"/>
    <col min="2" max="2" width="4.7109375" style="1" customWidth="1"/>
    <col min="3" max="3" width="27.28125" style="1" customWidth="1"/>
    <col min="4" max="4" width="13.140625" style="2" customWidth="1"/>
    <col min="5" max="5" width="8.8515625" style="2" customWidth="1"/>
    <col min="6" max="6" width="7.00390625" style="1" customWidth="1"/>
    <col min="7" max="7" width="6.57421875" style="3" customWidth="1"/>
    <col min="8" max="8" width="4.140625" style="1" customWidth="1"/>
    <col min="9" max="9" width="12.421875" style="1" customWidth="1"/>
    <col min="10" max="10" width="19.28125" style="1" customWidth="1"/>
    <col min="11" max="12" width="5.7109375" style="1" customWidth="1"/>
    <col min="13" max="13" width="15.7109375" style="133" customWidth="1"/>
    <col min="14" max="14" width="9.28125" style="133" customWidth="1"/>
    <col min="15" max="15" width="8.140625" style="133" customWidth="1"/>
    <col min="16" max="16" width="10.421875" style="133" customWidth="1"/>
    <col min="17" max="17" width="7.140625" style="133" customWidth="1"/>
    <col min="18" max="18" width="10.421875" style="133" customWidth="1"/>
    <col min="19" max="19" width="9.57421875" style="133" customWidth="1"/>
    <col min="20" max="20" width="11.421875" style="133" customWidth="1"/>
    <col min="21" max="21" width="18.140625" style="133" customWidth="1"/>
    <col min="22" max="22" width="12.00390625" style="133" customWidth="1"/>
    <col min="23" max="24" width="6.57421875" style="133" customWidth="1"/>
    <col min="25" max="26" width="10.7109375" style="133" customWidth="1"/>
    <col min="27" max="29" width="11.421875" style="133" customWidth="1"/>
    <col min="30" max="30" width="11.421875" style="134" customWidth="1"/>
    <col min="31" max="37" width="11.421875" style="133" customWidth="1"/>
    <col min="38" max="16384" width="11.421875" style="1" customWidth="1"/>
  </cols>
  <sheetData>
    <row r="1" ht="14.25"/>
    <row r="2" ht="14.25"/>
    <row r="3" ht="13.5" customHeight="1"/>
    <row r="4" ht="12" customHeight="1"/>
    <row r="5" ht="12" customHeight="1"/>
    <row r="6" ht="13.5" customHeight="1"/>
    <row r="7" ht="14.25"/>
    <row r="8" spans="1:11" ht="14.25">
      <c r="A8" s="96"/>
      <c r="B8" s="97"/>
      <c r="C8" s="97"/>
      <c r="D8" s="98"/>
      <c r="E8" s="98"/>
      <c r="F8" s="97"/>
      <c r="G8" s="97"/>
      <c r="H8" s="99"/>
      <c r="I8" s="97"/>
      <c r="J8" s="97"/>
      <c r="K8" s="100"/>
    </row>
    <row r="9" spans="1:34" ht="12.75" customHeight="1">
      <c r="A9" s="101"/>
      <c r="B9" s="75"/>
      <c r="C9" s="102" t="s">
        <v>0</v>
      </c>
      <c r="D9" s="103" t="s">
        <v>112</v>
      </c>
      <c r="E9" s="104"/>
      <c r="F9" s="104"/>
      <c r="G9" s="105"/>
      <c r="H9" s="76"/>
      <c r="I9" s="75"/>
      <c r="J9" s="75"/>
      <c r="K9" s="67"/>
      <c r="M9" s="189" t="s">
        <v>82</v>
      </c>
      <c r="N9" s="190"/>
      <c r="AG9" s="134"/>
      <c r="AH9" s="134"/>
    </row>
    <row r="10" spans="1:34" ht="14.25" customHeight="1">
      <c r="A10" s="101"/>
      <c r="B10" s="75"/>
      <c r="C10" s="102" t="s">
        <v>1</v>
      </c>
      <c r="D10" s="106" t="s">
        <v>113</v>
      </c>
      <c r="E10" s="107"/>
      <c r="F10" s="107"/>
      <c r="G10" s="75"/>
      <c r="H10" s="75"/>
      <c r="I10" s="75"/>
      <c r="J10" s="75"/>
      <c r="K10" s="70"/>
      <c r="AG10" s="134"/>
      <c r="AH10" s="134"/>
    </row>
    <row r="11" spans="1:34" ht="13.5">
      <c r="A11" s="101"/>
      <c r="B11" s="75"/>
      <c r="C11" s="75"/>
      <c r="D11" s="107"/>
      <c r="E11" s="107"/>
      <c r="F11" s="107"/>
      <c r="G11" s="108"/>
      <c r="H11" s="75"/>
      <c r="I11" s="75"/>
      <c r="J11" s="75"/>
      <c r="K11" s="70"/>
      <c r="AD11" s="134" t="b">
        <v>0</v>
      </c>
      <c r="AG11" s="134"/>
      <c r="AH11" s="134"/>
    </row>
    <row r="12" spans="1:33" ht="13.5">
      <c r="A12" s="101"/>
      <c r="B12" s="158" t="s">
        <v>64</v>
      </c>
      <c r="C12" s="159"/>
      <c r="D12" s="25">
        <f>IF(AD15=TRUE,J13,IF(AD16=TRUE,J14,IF(AD17=TRUE,J15)))</f>
        <v>5</v>
      </c>
      <c r="E12" s="26" t="s">
        <v>4</v>
      </c>
      <c r="F12" s="75"/>
      <c r="G12" s="75"/>
      <c r="H12" s="76"/>
      <c r="I12" s="165" t="s">
        <v>56</v>
      </c>
      <c r="J12" s="166"/>
      <c r="K12" s="71"/>
      <c r="AD12" s="134" t="b">
        <v>1</v>
      </c>
      <c r="AG12" s="136"/>
    </row>
    <row r="13" spans="1:11" ht="13.5">
      <c r="A13" s="101"/>
      <c r="B13" s="160" t="s">
        <v>114</v>
      </c>
      <c r="C13" s="161"/>
      <c r="D13" s="132">
        <v>300</v>
      </c>
      <c r="E13" s="30" t="s">
        <v>111</v>
      </c>
      <c r="F13" s="75"/>
      <c r="G13" s="75"/>
      <c r="H13" s="83"/>
      <c r="I13" s="5" t="s">
        <v>2</v>
      </c>
      <c r="J13" s="6">
        <v>3</v>
      </c>
      <c r="K13" s="71"/>
    </row>
    <row r="14" spans="1:11" ht="13.5">
      <c r="A14" s="101"/>
      <c r="B14" s="32"/>
      <c r="C14" s="33"/>
      <c r="D14" s="31">
        <f>D12*D13</f>
        <v>1500</v>
      </c>
      <c r="E14" s="30" t="s">
        <v>7</v>
      </c>
      <c r="F14" s="75"/>
      <c r="G14" s="75"/>
      <c r="H14" s="83"/>
      <c r="I14" s="5" t="s">
        <v>3</v>
      </c>
      <c r="J14" s="6">
        <v>5</v>
      </c>
      <c r="K14" s="71"/>
    </row>
    <row r="15" spans="1:30" ht="13.5">
      <c r="A15" s="101"/>
      <c r="B15" s="32"/>
      <c r="C15" s="33"/>
      <c r="D15" s="31"/>
      <c r="E15" s="34"/>
      <c r="F15" s="75"/>
      <c r="G15" s="75"/>
      <c r="H15" s="84"/>
      <c r="I15" s="5" t="s">
        <v>5</v>
      </c>
      <c r="J15" s="6">
        <v>8</v>
      </c>
      <c r="K15" s="71"/>
      <c r="AD15" s="134" t="b">
        <v>0</v>
      </c>
    </row>
    <row r="16" spans="1:33" ht="13.5">
      <c r="A16" s="101"/>
      <c r="B16" s="160" t="s">
        <v>50</v>
      </c>
      <c r="C16" s="161"/>
      <c r="D16" s="31">
        <v>8</v>
      </c>
      <c r="E16" s="30" t="s">
        <v>6</v>
      </c>
      <c r="F16" s="75"/>
      <c r="G16" s="75"/>
      <c r="H16" s="131"/>
      <c r="I16" s="131"/>
      <c r="J16" s="131"/>
      <c r="K16" s="67"/>
      <c r="AD16" s="134" t="b">
        <v>1</v>
      </c>
      <c r="AG16" s="136"/>
    </row>
    <row r="17" spans="1:30" ht="13.5">
      <c r="A17" s="101"/>
      <c r="B17" s="160" t="s">
        <v>60</v>
      </c>
      <c r="C17" s="161"/>
      <c r="D17" s="31">
        <v>0.4</v>
      </c>
      <c r="E17" s="30"/>
      <c r="F17" s="75"/>
      <c r="G17" s="75"/>
      <c r="H17" s="76"/>
      <c r="I17" s="165" t="s">
        <v>8</v>
      </c>
      <c r="J17" s="166"/>
      <c r="K17" s="71"/>
      <c r="AD17" s="134" t="b">
        <v>0</v>
      </c>
    </row>
    <row r="18" spans="1:11" ht="13.5">
      <c r="A18" s="101"/>
      <c r="B18" s="160" t="s">
        <v>51</v>
      </c>
      <c r="C18" s="161"/>
      <c r="D18" s="35">
        <f>(D14)*D17*9.8*D16/3600</f>
        <v>13.066666666666666</v>
      </c>
      <c r="E18" s="30" t="s">
        <v>42</v>
      </c>
      <c r="F18" s="75"/>
      <c r="G18" s="75"/>
      <c r="H18" s="83"/>
      <c r="I18" s="5" t="s">
        <v>2</v>
      </c>
      <c r="J18" s="130">
        <v>0.6</v>
      </c>
      <c r="K18" s="71"/>
    </row>
    <row r="19" spans="1:30" ht="13.5">
      <c r="A19" s="101"/>
      <c r="B19" s="160"/>
      <c r="C19" s="161"/>
      <c r="D19" s="35"/>
      <c r="E19" s="30"/>
      <c r="F19" s="75"/>
      <c r="G19" s="75"/>
      <c r="H19" s="83"/>
      <c r="I19" s="5" t="s">
        <v>3</v>
      </c>
      <c r="J19" s="130">
        <v>0.7</v>
      </c>
      <c r="K19" s="71"/>
      <c r="AD19" s="134" t="b">
        <v>0</v>
      </c>
    </row>
    <row r="20" spans="1:30" ht="13.5">
      <c r="A20" s="101"/>
      <c r="B20" s="160" t="s">
        <v>58</v>
      </c>
      <c r="C20" s="161"/>
      <c r="D20" s="35">
        <f>D18*(1+D19/100)</f>
        <v>13.066666666666666</v>
      </c>
      <c r="E20" s="30" t="s">
        <v>42</v>
      </c>
      <c r="F20" s="75"/>
      <c r="G20" s="75"/>
      <c r="H20" s="83"/>
      <c r="I20" s="5" t="s">
        <v>5</v>
      </c>
      <c r="J20" s="130">
        <v>0.8</v>
      </c>
      <c r="K20" s="71"/>
      <c r="L20" s="137"/>
      <c r="AD20" s="134" t="b">
        <v>0</v>
      </c>
    </row>
    <row r="21" spans="1:30" ht="13.5">
      <c r="A21" s="101"/>
      <c r="B21" s="27"/>
      <c r="C21" s="28"/>
      <c r="D21" s="35">
        <f>D20*1.36</f>
        <v>17.770666666666667</v>
      </c>
      <c r="E21" s="30" t="s">
        <v>13</v>
      </c>
      <c r="F21" s="75"/>
      <c r="G21" s="75"/>
      <c r="H21" s="76"/>
      <c r="I21" s="75"/>
      <c r="J21" s="75"/>
      <c r="K21" s="71"/>
      <c r="L21" s="137"/>
      <c r="M21" s="164" t="s">
        <v>73</v>
      </c>
      <c r="N21" s="164"/>
      <c r="AD21" s="134" t="b">
        <v>1</v>
      </c>
    </row>
    <row r="22" spans="1:12" ht="13.5">
      <c r="A22" s="101"/>
      <c r="B22" s="160" t="s">
        <v>74</v>
      </c>
      <c r="C22" s="161"/>
      <c r="D22" s="35">
        <f>D21/0.75</f>
        <v>23.694222222222223</v>
      </c>
      <c r="E22" s="30" t="s">
        <v>13</v>
      </c>
      <c r="F22" s="75"/>
      <c r="G22" s="75"/>
      <c r="H22" s="76"/>
      <c r="I22" s="165" t="s">
        <v>12</v>
      </c>
      <c r="J22" s="166"/>
      <c r="K22" s="71"/>
      <c r="L22" s="137"/>
    </row>
    <row r="23" spans="1:12" ht="13.5">
      <c r="A23" s="101"/>
      <c r="B23" s="32"/>
      <c r="C23" s="33"/>
      <c r="D23" s="35"/>
      <c r="E23" s="30"/>
      <c r="F23" s="75"/>
      <c r="G23" s="75"/>
      <c r="H23" s="83"/>
      <c r="I23" s="5" t="s">
        <v>61</v>
      </c>
      <c r="J23" s="7">
        <v>25</v>
      </c>
      <c r="K23" s="71"/>
      <c r="L23" s="137"/>
    </row>
    <row r="24" spans="1:18" ht="13.5">
      <c r="A24" s="101"/>
      <c r="B24" s="160" t="s">
        <v>70</v>
      </c>
      <c r="C24" s="161"/>
      <c r="D24" s="36">
        <f>10/(D16*D12)</f>
        <v>0.25</v>
      </c>
      <c r="E24" s="30" t="s">
        <v>9</v>
      </c>
      <c r="F24" s="75"/>
      <c r="G24" s="75"/>
      <c r="H24" s="83"/>
      <c r="I24" s="5" t="s">
        <v>62</v>
      </c>
      <c r="J24" s="7">
        <v>50</v>
      </c>
      <c r="K24" s="71"/>
      <c r="M24" s="167" t="s">
        <v>55</v>
      </c>
      <c r="N24" s="167"/>
      <c r="O24" s="138"/>
      <c r="P24" s="138"/>
      <c r="Q24" s="139"/>
      <c r="R24" s="139"/>
    </row>
    <row r="25" spans="1:30" ht="13.5">
      <c r="A25" s="101"/>
      <c r="B25" s="160" t="s">
        <v>10</v>
      </c>
      <c r="C25" s="161"/>
      <c r="D25" s="31">
        <f>IF(AD19=TRUE,J18,IF(AD20=TRUE,J19,IF(AD21=TRUE,J20)))</f>
        <v>0.8</v>
      </c>
      <c r="E25" s="34"/>
      <c r="F25" s="75"/>
      <c r="G25" s="75"/>
      <c r="H25" s="83"/>
      <c r="I25" s="5" t="s">
        <v>63</v>
      </c>
      <c r="J25" s="7">
        <v>75</v>
      </c>
      <c r="K25" s="67"/>
      <c r="L25" s="137"/>
      <c r="N25" s="133" t="s">
        <v>52</v>
      </c>
      <c r="O25" s="138"/>
      <c r="P25" s="138"/>
      <c r="Q25" s="139"/>
      <c r="R25" s="139"/>
      <c r="AD25" s="134" t="b">
        <v>1</v>
      </c>
    </row>
    <row r="26" spans="1:30" ht="13.5">
      <c r="A26" s="101"/>
      <c r="B26" s="174" t="s">
        <v>71</v>
      </c>
      <c r="C26" s="175"/>
      <c r="D26" s="39">
        <f>D24/D25</f>
        <v>0.3125</v>
      </c>
      <c r="E26" s="40" t="s">
        <v>9</v>
      </c>
      <c r="F26" s="75"/>
      <c r="G26" s="75"/>
      <c r="H26" s="76"/>
      <c r="I26" s="75"/>
      <c r="J26" s="75"/>
      <c r="K26" s="71"/>
      <c r="L26" s="137"/>
      <c r="M26" s="133" t="s">
        <v>53</v>
      </c>
      <c r="N26" s="138"/>
      <c r="O26" s="138"/>
      <c r="Q26" s="139"/>
      <c r="R26" s="139"/>
      <c r="AD26" s="134" t="b">
        <v>0</v>
      </c>
    </row>
    <row r="27" spans="1:30" ht="13.5">
      <c r="A27" s="101"/>
      <c r="B27" s="41"/>
      <c r="C27" s="42"/>
      <c r="D27" s="39">
        <f>1/D26</f>
        <v>3.2</v>
      </c>
      <c r="E27" s="40" t="s">
        <v>11</v>
      </c>
      <c r="F27" s="75"/>
      <c r="G27" s="75"/>
      <c r="H27" s="76"/>
      <c r="I27" s="165" t="s">
        <v>16</v>
      </c>
      <c r="J27" s="166"/>
      <c r="K27" s="71"/>
      <c r="L27" s="137"/>
      <c r="M27" s="133" t="s">
        <v>54</v>
      </c>
      <c r="N27" s="138"/>
      <c r="O27" s="138"/>
      <c r="P27" s="138"/>
      <c r="Q27" s="139"/>
      <c r="R27" s="139"/>
      <c r="AD27" s="134" t="b">
        <v>0</v>
      </c>
    </row>
    <row r="28" spans="1:30" ht="13.5">
      <c r="A28" s="101"/>
      <c r="B28" s="41"/>
      <c r="C28" s="43"/>
      <c r="D28" s="31"/>
      <c r="E28" s="34"/>
      <c r="F28" s="75"/>
      <c r="G28" s="75"/>
      <c r="H28" s="83"/>
      <c r="I28" s="8" t="s">
        <v>59</v>
      </c>
      <c r="J28" s="9">
        <v>90</v>
      </c>
      <c r="K28" s="71"/>
      <c r="L28" s="137"/>
      <c r="N28" s="138"/>
      <c r="O28" s="139"/>
      <c r="P28" s="139"/>
      <c r="Q28" s="139"/>
      <c r="AD28" s="134" t="b">
        <v>0</v>
      </c>
    </row>
    <row r="29" spans="1:30" ht="13.5">
      <c r="A29" s="101"/>
      <c r="B29" s="160" t="s">
        <v>57</v>
      </c>
      <c r="C29" s="161"/>
      <c r="D29" s="31">
        <f>IF(AD25=TRUE,J23,IF(AD26=TRUE,J24,IF(AD27=TRUE,J25)))</f>
        <v>25</v>
      </c>
      <c r="E29" s="30" t="s">
        <v>14</v>
      </c>
      <c r="F29" s="75"/>
      <c r="G29" s="75"/>
      <c r="H29" s="83"/>
      <c r="I29" s="5" t="s">
        <v>17</v>
      </c>
      <c r="J29" s="7">
        <v>120</v>
      </c>
      <c r="K29" s="71"/>
      <c r="L29" s="137"/>
      <c r="N29" s="138"/>
      <c r="V29" s="139"/>
      <c r="AD29" s="134" t="b">
        <v>1</v>
      </c>
    </row>
    <row r="30" spans="1:30" ht="12.75" customHeight="1">
      <c r="A30" s="101"/>
      <c r="B30" s="160" t="s">
        <v>15</v>
      </c>
      <c r="C30" s="161"/>
      <c r="D30" s="35">
        <f>D22*100/D29</f>
        <v>94.77688888888889</v>
      </c>
      <c r="E30" s="30" t="s">
        <v>13</v>
      </c>
      <c r="F30" s="75"/>
      <c r="G30" s="75"/>
      <c r="H30" s="83"/>
      <c r="I30" s="5" t="s">
        <v>18</v>
      </c>
      <c r="J30" s="7">
        <v>150</v>
      </c>
      <c r="K30" s="67"/>
      <c r="L30" s="137"/>
      <c r="M30" s="170" t="s">
        <v>83</v>
      </c>
      <c r="N30" s="170"/>
      <c r="O30" s="170"/>
      <c r="S30" s="139"/>
      <c r="V30" s="139"/>
      <c r="W30" s="139"/>
      <c r="X30" s="139"/>
      <c r="Y30" s="139"/>
      <c r="Z30" s="139"/>
      <c r="AA30" s="139"/>
      <c r="AB30" s="139"/>
      <c r="AD30" s="134" t="b">
        <v>0</v>
      </c>
    </row>
    <row r="31" spans="1:30" ht="13.5">
      <c r="A31" s="101"/>
      <c r="B31" s="32"/>
      <c r="C31" s="33"/>
      <c r="D31" s="31"/>
      <c r="E31" s="34"/>
      <c r="F31" s="75"/>
      <c r="G31" s="75"/>
      <c r="H31" s="83"/>
      <c r="I31" s="5" t="s">
        <v>19</v>
      </c>
      <c r="J31" s="7">
        <v>180</v>
      </c>
      <c r="K31" s="71"/>
      <c r="L31" s="137"/>
      <c r="M31" s="169" t="s">
        <v>76</v>
      </c>
      <c r="N31" s="138">
        <f>D33</f>
        <v>120</v>
      </c>
      <c r="O31" s="133" t="s">
        <v>13</v>
      </c>
      <c r="S31" s="139"/>
      <c r="W31" s="139"/>
      <c r="X31" s="139"/>
      <c r="Y31" s="139"/>
      <c r="Z31" s="139"/>
      <c r="AA31" s="139"/>
      <c r="AB31" s="139"/>
      <c r="AD31" s="134" t="b">
        <v>0</v>
      </c>
    </row>
    <row r="32" spans="1:28" ht="13.5">
      <c r="A32" s="101"/>
      <c r="B32" s="160" t="s">
        <v>75</v>
      </c>
      <c r="C32" s="161"/>
      <c r="D32" s="31" t="str">
        <f>IF(AD28=TRUE,"Pequeño",IF(AD29=TRUE,"Mediano",IF(AD30=TRUE,"Grande",IF(AD31=TRUE,"Muy Grande",))))</f>
        <v>Mediano</v>
      </c>
      <c r="E32" s="30"/>
      <c r="F32" s="75"/>
      <c r="G32" s="75"/>
      <c r="H32" s="76"/>
      <c r="I32" s="75"/>
      <c r="J32" s="75"/>
      <c r="K32" s="71"/>
      <c r="L32" s="137"/>
      <c r="M32" s="169"/>
      <c r="N32" s="140">
        <f>N31/1.36</f>
        <v>88.23529411764706</v>
      </c>
      <c r="O32" s="133" t="s">
        <v>42</v>
      </c>
      <c r="P32" s="141"/>
      <c r="Q32" s="156" t="s">
        <v>84</v>
      </c>
      <c r="R32" s="156"/>
      <c r="W32" s="139"/>
      <c r="X32" s="139"/>
      <c r="Y32" s="139"/>
      <c r="Z32" s="139"/>
      <c r="AA32" s="139"/>
      <c r="AB32" s="139"/>
    </row>
    <row r="33" spans="1:28" ht="13.5">
      <c r="A33" s="101"/>
      <c r="B33" s="176" t="s">
        <v>76</v>
      </c>
      <c r="C33" s="177"/>
      <c r="D33" s="44">
        <f>IF(AD28=TRUE,J28,IF(AD29=TRUE,J29,IF(AD30=TRUE,J30,IF(AD31=TRUE,J31,""))))</f>
        <v>120</v>
      </c>
      <c r="E33" s="45" t="s">
        <v>13</v>
      </c>
      <c r="F33" s="75"/>
      <c r="G33" s="75"/>
      <c r="H33" s="76"/>
      <c r="I33" s="165" t="s">
        <v>21</v>
      </c>
      <c r="J33" s="166"/>
      <c r="K33" s="71"/>
      <c r="M33" s="157" t="s">
        <v>85</v>
      </c>
      <c r="N33" s="138">
        <f>+I60</f>
        <v>560</v>
      </c>
      <c r="O33" s="133" t="s">
        <v>45</v>
      </c>
      <c r="Q33" s="156"/>
      <c r="R33" s="156"/>
      <c r="W33" s="139"/>
      <c r="X33" s="139"/>
      <c r="Y33" s="139"/>
      <c r="Z33" s="139"/>
      <c r="AA33" s="139"/>
      <c r="AB33" s="139"/>
    </row>
    <row r="34" spans="1:18" ht="13.5">
      <c r="A34" s="101"/>
      <c r="B34" s="75"/>
      <c r="C34" s="75"/>
      <c r="D34" s="109"/>
      <c r="E34" s="104"/>
      <c r="F34" s="75"/>
      <c r="G34" s="75"/>
      <c r="H34" s="76"/>
      <c r="I34" s="5" t="s">
        <v>23</v>
      </c>
      <c r="J34" s="9" t="s">
        <v>72</v>
      </c>
      <c r="K34" s="71"/>
      <c r="L34" s="137"/>
      <c r="M34" s="157"/>
      <c r="N34" s="142">
        <f>N32*N33</f>
        <v>49411.76470588235</v>
      </c>
      <c r="O34" s="133" t="s">
        <v>27</v>
      </c>
      <c r="Q34" s="140" t="s">
        <v>25</v>
      </c>
      <c r="R34" s="143" t="s">
        <v>86</v>
      </c>
    </row>
    <row r="35" spans="1:18" ht="12.75" customHeight="1">
      <c r="A35" s="101"/>
      <c r="B35" s="162" t="s">
        <v>65</v>
      </c>
      <c r="C35" s="163"/>
      <c r="D35" s="78"/>
      <c r="E35" s="79"/>
      <c r="F35" s="75"/>
      <c r="G35" s="75"/>
      <c r="H35" s="75"/>
      <c r="I35" s="5" t="s">
        <v>2</v>
      </c>
      <c r="J35" s="10">
        <v>0.1</v>
      </c>
      <c r="K35" s="67"/>
      <c r="L35" s="137"/>
      <c r="M35" s="157" t="s">
        <v>87</v>
      </c>
      <c r="N35" s="142">
        <v>12000</v>
      </c>
      <c r="O35" s="133" t="s">
        <v>43</v>
      </c>
      <c r="Q35" s="142">
        <v>500</v>
      </c>
      <c r="R35" s="140">
        <f>$N$34/$N$35+$N$34/($N$36*Q35)+($N$34*$N$37*0.6)/(Q35*100)+($N$34*(($N$38+$N$39)/(Q35*100)))+$N$32*$N$41*$N$40</f>
        <v>14.967058823529412</v>
      </c>
    </row>
    <row r="36" spans="1:18" ht="13.5">
      <c r="A36" s="101"/>
      <c r="B36" s="158" t="s">
        <v>20</v>
      </c>
      <c r="C36" s="159"/>
      <c r="D36" s="46">
        <f>IF(D29=J23,J35*D33/1.36,IF(D29=J24,J36*D33/1.36,IF(D29=J25,J37*D33/1.36)))</f>
        <v>8.823529411764705</v>
      </c>
      <c r="E36" s="26" t="s">
        <v>49</v>
      </c>
      <c r="F36" s="75"/>
      <c r="G36" s="75"/>
      <c r="H36" s="75"/>
      <c r="I36" s="5" t="s">
        <v>3</v>
      </c>
      <c r="J36" s="10">
        <v>0.15</v>
      </c>
      <c r="K36" s="71"/>
      <c r="L36" s="137"/>
      <c r="M36" s="157"/>
      <c r="N36" s="138">
        <v>20</v>
      </c>
      <c r="O36" s="133" t="s">
        <v>32</v>
      </c>
      <c r="Q36" s="142">
        <v>1000</v>
      </c>
      <c r="R36" s="140">
        <f>$N$34/$N$35+$N$34/($N$36*Q36)+($N$34*$N$37*0.6)/(Q36*100)+($N$34*(($N$38+$N$39)/(Q36*100)))+$N$32*$N$41*$N$40</f>
        <v>10.865882352941176</v>
      </c>
    </row>
    <row r="37" spans="1:15" ht="13.5">
      <c r="A37" s="101"/>
      <c r="B37" s="32"/>
      <c r="C37" s="33"/>
      <c r="D37" s="36">
        <f>D36*D26</f>
        <v>2.75735294117647</v>
      </c>
      <c r="E37" s="30" t="s">
        <v>68</v>
      </c>
      <c r="F37" s="75"/>
      <c r="G37" s="75"/>
      <c r="H37" s="75"/>
      <c r="I37" s="5" t="s">
        <v>5</v>
      </c>
      <c r="J37" s="10">
        <v>0.207</v>
      </c>
      <c r="K37" s="71"/>
      <c r="L37" s="137"/>
      <c r="M37" s="135" t="s">
        <v>88</v>
      </c>
      <c r="N37" s="144">
        <f>+D51</f>
        <v>5</v>
      </c>
      <c r="O37" s="133" t="s">
        <v>14</v>
      </c>
    </row>
    <row r="38" spans="1:15" ht="13.5">
      <c r="A38" s="101"/>
      <c r="B38" s="160" t="s">
        <v>22</v>
      </c>
      <c r="C38" s="161"/>
      <c r="D38" s="47">
        <f>D36*0.1/100</f>
        <v>0.008823529411764706</v>
      </c>
      <c r="E38" s="30" t="s">
        <v>49</v>
      </c>
      <c r="F38" s="75"/>
      <c r="G38" s="75"/>
      <c r="H38" s="76"/>
      <c r="I38" s="171"/>
      <c r="J38" s="171"/>
      <c r="K38" s="71"/>
      <c r="M38" s="135" t="s">
        <v>46</v>
      </c>
      <c r="N38" s="144">
        <v>0.2</v>
      </c>
      <c r="O38" s="133" t="s">
        <v>14</v>
      </c>
    </row>
    <row r="39" spans="1:15" ht="13.5">
      <c r="A39" s="101"/>
      <c r="B39" s="41"/>
      <c r="C39" s="43"/>
      <c r="D39" s="47">
        <f>D37*0.1/100</f>
        <v>0.0027573529411764703</v>
      </c>
      <c r="E39" s="30" t="s">
        <v>68</v>
      </c>
      <c r="F39" s="75"/>
      <c r="G39" s="75"/>
      <c r="H39" s="76"/>
      <c r="I39" s="75"/>
      <c r="J39" s="129"/>
      <c r="K39" s="71"/>
      <c r="M39" s="135" t="s">
        <v>47</v>
      </c>
      <c r="N39" s="144">
        <v>0.1</v>
      </c>
      <c r="O39" s="133" t="s">
        <v>14</v>
      </c>
    </row>
    <row r="40" spans="1:15" ht="14.25" thickBot="1">
      <c r="A40" s="101"/>
      <c r="B40" s="193" t="s">
        <v>67</v>
      </c>
      <c r="C40" s="194"/>
      <c r="D40" s="124">
        <v>1</v>
      </c>
      <c r="E40" s="145" t="s">
        <v>44</v>
      </c>
      <c r="F40" s="75"/>
      <c r="G40" s="75"/>
      <c r="H40" s="76"/>
      <c r="I40" s="75"/>
      <c r="J40" s="129"/>
      <c r="K40" s="71"/>
      <c r="L40" s="137"/>
      <c r="M40" s="146" t="s">
        <v>89</v>
      </c>
      <c r="N40" s="144">
        <v>0.2</v>
      </c>
      <c r="O40" s="147" t="s">
        <v>44</v>
      </c>
    </row>
    <row r="41" spans="1:15" ht="14.25" thickTop="1">
      <c r="A41" s="101"/>
      <c r="B41" s="37" t="s">
        <v>69</v>
      </c>
      <c r="C41" s="38"/>
      <c r="D41" s="48">
        <f>D40*D36</f>
        <v>8.823529411764705</v>
      </c>
      <c r="E41" s="40" t="s">
        <v>30</v>
      </c>
      <c r="F41" s="75"/>
      <c r="G41" s="75"/>
      <c r="H41" s="75"/>
      <c r="I41" s="75"/>
      <c r="J41" s="75"/>
      <c r="K41" s="67"/>
      <c r="L41" s="137"/>
      <c r="M41" s="146" t="s">
        <v>90</v>
      </c>
      <c r="N41" s="148">
        <v>0.15</v>
      </c>
      <c r="O41" s="147" t="s">
        <v>48</v>
      </c>
    </row>
    <row r="42" spans="1:12" ht="13.5">
      <c r="A42" s="101"/>
      <c r="B42" s="49"/>
      <c r="C42" s="50"/>
      <c r="D42" s="51">
        <f>D37*D40</f>
        <v>2.75735294117647</v>
      </c>
      <c r="E42" s="149" t="s">
        <v>38</v>
      </c>
      <c r="F42" s="75"/>
      <c r="G42" s="75"/>
      <c r="H42" s="75"/>
      <c r="I42" s="75"/>
      <c r="J42" s="75"/>
      <c r="K42" s="71"/>
      <c r="L42" s="137"/>
    </row>
    <row r="43" spans="1:12" ht="13.5">
      <c r="A43" s="101"/>
      <c r="B43" s="75"/>
      <c r="C43" s="75"/>
      <c r="D43" s="109"/>
      <c r="E43" s="104"/>
      <c r="F43" s="75"/>
      <c r="G43" s="75"/>
      <c r="H43" s="75"/>
      <c r="I43" s="75"/>
      <c r="J43" s="75"/>
      <c r="K43" s="71"/>
      <c r="L43" s="137"/>
    </row>
    <row r="44" spans="1:11" ht="13.5">
      <c r="A44" s="101"/>
      <c r="B44" s="162" t="s">
        <v>66</v>
      </c>
      <c r="C44" s="163"/>
      <c r="D44" s="78"/>
      <c r="E44" s="80"/>
      <c r="F44" s="81"/>
      <c r="G44" s="82"/>
      <c r="H44" s="75"/>
      <c r="I44" s="168" t="s">
        <v>81</v>
      </c>
      <c r="J44" s="168"/>
      <c r="K44" s="72"/>
    </row>
    <row r="45" spans="1:11" ht="13.5">
      <c r="A45" s="101"/>
      <c r="B45" s="158" t="s">
        <v>24</v>
      </c>
      <c r="C45" s="159"/>
      <c r="D45" s="52">
        <f>IF(AD47=TRUE,J45,J46)</f>
        <v>40</v>
      </c>
      <c r="E45" s="53" t="s">
        <v>25</v>
      </c>
      <c r="F45" s="54"/>
      <c r="G45" s="55"/>
      <c r="H45" s="84"/>
      <c r="I45" s="5" t="s">
        <v>2</v>
      </c>
      <c r="J45" s="6">
        <v>40</v>
      </c>
      <c r="K45" s="72"/>
    </row>
    <row r="46" spans="1:11" ht="13.5">
      <c r="A46" s="101"/>
      <c r="B46" s="32"/>
      <c r="C46" s="33"/>
      <c r="D46" s="31"/>
      <c r="E46" s="56"/>
      <c r="F46" s="43"/>
      <c r="G46" s="57"/>
      <c r="H46" s="84"/>
      <c r="I46" s="5" t="s">
        <v>5</v>
      </c>
      <c r="J46" s="12">
        <v>80</v>
      </c>
      <c r="K46" s="72"/>
    </row>
    <row r="47" spans="1:30" ht="13.5">
      <c r="A47" s="101"/>
      <c r="B47" s="160" t="s">
        <v>26</v>
      </c>
      <c r="C47" s="161"/>
      <c r="D47" s="29">
        <f>+F47*D12</f>
        <v>2750</v>
      </c>
      <c r="E47" s="58" t="s">
        <v>27</v>
      </c>
      <c r="F47" s="128">
        <v>550</v>
      </c>
      <c r="G47" s="57" t="s">
        <v>115</v>
      </c>
      <c r="H47" s="75"/>
      <c r="I47" s="75"/>
      <c r="J47" s="75"/>
      <c r="K47" s="67"/>
      <c r="AD47" s="134" t="b">
        <v>1</v>
      </c>
    </row>
    <row r="48" spans="1:30" ht="13.5">
      <c r="A48" s="101"/>
      <c r="B48" s="41"/>
      <c r="C48" s="43"/>
      <c r="D48" s="31"/>
      <c r="E48" s="56"/>
      <c r="F48" s="43"/>
      <c r="G48" s="57"/>
      <c r="H48" s="75"/>
      <c r="I48" s="75"/>
      <c r="J48" s="75"/>
      <c r="K48" s="71"/>
      <c r="AD48" s="134" t="b">
        <v>0</v>
      </c>
    </row>
    <row r="49" spans="1:11" ht="13.5">
      <c r="A49" s="101"/>
      <c r="B49" s="160" t="s">
        <v>28</v>
      </c>
      <c r="C49" s="161"/>
      <c r="D49" s="87">
        <v>800</v>
      </c>
      <c r="E49" s="58" t="s">
        <v>29</v>
      </c>
      <c r="F49" s="36">
        <f>+$D$47/$D49</f>
        <v>3.4375</v>
      </c>
      <c r="G49" s="150" t="s">
        <v>30</v>
      </c>
      <c r="H49" s="75"/>
      <c r="I49" s="75"/>
      <c r="J49" s="75"/>
      <c r="K49" s="71"/>
    </row>
    <row r="50" spans="1:11" ht="13.5">
      <c r="A50" s="101"/>
      <c r="B50" s="160" t="s">
        <v>31</v>
      </c>
      <c r="C50" s="161"/>
      <c r="D50" s="87">
        <v>20</v>
      </c>
      <c r="E50" s="58" t="s">
        <v>32</v>
      </c>
      <c r="F50" s="36">
        <f>+$D$47/($D50*D45)</f>
        <v>3.4375</v>
      </c>
      <c r="G50" s="150" t="s">
        <v>30</v>
      </c>
      <c r="H50" s="75"/>
      <c r="I50" s="75"/>
      <c r="J50" s="75"/>
      <c r="K50" s="73"/>
    </row>
    <row r="51" spans="1:11" ht="13.5">
      <c r="A51" s="101"/>
      <c r="B51" s="160" t="s">
        <v>33</v>
      </c>
      <c r="C51" s="161"/>
      <c r="D51" s="87">
        <v>5</v>
      </c>
      <c r="E51" s="58" t="s">
        <v>14</v>
      </c>
      <c r="F51" s="36">
        <f>+$D$47*0.006*$D51/D45</f>
        <v>2.0625</v>
      </c>
      <c r="G51" s="150" t="s">
        <v>30</v>
      </c>
      <c r="H51" s="75"/>
      <c r="I51" s="172" t="str">
        <f>CONCATENATE("Vida útil para ",D45," h/año")</f>
        <v>Vida útil para 40 h/año</v>
      </c>
      <c r="J51" s="173"/>
      <c r="K51" s="67"/>
    </row>
    <row r="52" spans="1:11" ht="13.5">
      <c r="A52" s="101"/>
      <c r="B52" s="160" t="s">
        <v>34</v>
      </c>
      <c r="C52" s="161"/>
      <c r="D52" s="87">
        <v>0.2</v>
      </c>
      <c r="E52" s="58" t="s">
        <v>35</v>
      </c>
      <c r="F52" s="36">
        <f>+$D$47*$D52/(100*D45)</f>
        <v>0.1375</v>
      </c>
      <c r="G52" s="150" t="s">
        <v>30</v>
      </c>
      <c r="H52" s="75"/>
      <c r="I52" s="13" t="s">
        <v>29</v>
      </c>
      <c r="J52" s="14">
        <f>+$D$47/($F$49+$F$50)</f>
        <v>400</v>
      </c>
      <c r="K52" s="67"/>
    </row>
    <row r="53" spans="1:11" ht="13.5">
      <c r="A53" s="101"/>
      <c r="B53" s="160" t="s">
        <v>36</v>
      </c>
      <c r="C53" s="161"/>
      <c r="D53" s="87">
        <v>0.1</v>
      </c>
      <c r="E53" s="58" t="s">
        <v>35</v>
      </c>
      <c r="F53" s="36">
        <f>+$D$47*$D53/(D45*100)</f>
        <v>0.06875</v>
      </c>
      <c r="G53" s="150" t="s">
        <v>30</v>
      </c>
      <c r="H53" s="75"/>
      <c r="I53" s="13" t="s">
        <v>32</v>
      </c>
      <c r="J53" s="15">
        <f>+$D$47/($D$45*($F$49+$F$50))</f>
        <v>10</v>
      </c>
      <c r="K53" s="74"/>
    </row>
    <row r="54" spans="1:11" ht="14.25" thickBot="1">
      <c r="A54" s="101"/>
      <c r="B54" s="193" t="s">
        <v>37</v>
      </c>
      <c r="C54" s="194"/>
      <c r="D54" s="86">
        <v>0.3</v>
      </c>
      <c r="E54" s="63" t="s">
        <v>38</v>
      </c>
      <c r="F54" s="64">
        <f>+D54/D26</f>
        <v>0.96</v>
      </c>
      <c r="G54" s="151" t="s">
        <v>30</v>
      </c>
      <c r="H54" s="75"/>
      <c r="I54" s="75"/>
      <c r="J54" s="75"/>
      <c r="K54" s="65"/>
    </row>
    <row r="55" spans="1:11" ht="14.25" thickTop="1">
      <c r="A55" s="101"/>
      <c r="B55" s="37" t="s">
        <v>39</v>
      </c>
      <c r="C55" s="77"/>
      <c r="D55" s="56"/>
      <c r="E55" s="58"/>
      <c r="F55" s="36">
        <f>SUM(F49:F54)</f>
        <v>10.103749999999998</v>
      </c>
      <c r="G55" s="150" t="s">
        <v>30</v>
      </c>
      <c r="H55" s="75"/>
      <c r="I55" s="75"/>
      <c r="J55" s="75"/>
      <c r="K55" s="66"/>
    </row>
    <row r="56" spans="1:11" ht="13.5">
      <c r="A56" s="101"/>
      <c r="B56" s="59"/>
      <c r="C56" s="60"/>
      <c r="D56" s="61"/>
      <c r="E56" s="61"/>
      <c r="F56" s="62">
        <f>+F55*D26</f>
        <v>3.1574218749999994</v>
      </c>
      <c r="G56" s="152" t="s">
        <v>38</v>
      </c>
      <c r="H56" s="75"/>
      <c r="I56" s="75"/>
      <c r="J56" s="75"/>
      <c r="K56" s="67"/>
    </row>
    <row r="57" spans="1:11" ht="13.5">
      <c r="A57" s="101"/>
      <c r="B57" s="75"/>
      <c r="C57" s="110"/>
      <c r="D57" s="104"/>
      <c r="E57" s="104"/>
      <c r="F57" s="75"/>
      <c r="G57" s="76"/>
      <c r="H57" s="75"/>
      <c r="I57" s="75"/>
      <c r="J57" s="68"/>
      <c r="K57" s="67"/>
    </row>
    <row r="58" spans="1:11" ht="23.25" customHeight="1">
      <c r="A58" s="101"/>
      <c r="B58" s="180" t="s">
        <v>41</v>
      </c>
      <c r="C58" s="181"/>
      <c r="D58" s="182"/>
      <c r="E58" s="183" t="s">
        <v>91</v>
      </c>
      <c r="F58" s="183"/>
      <c r="G58" s="111"/>
      <c r="H58" s="112"/>
      <c r="I58" s="112"/>
      <c r="J58" s="112"/>
      <c r="K58" s="67"/>
    </row>
    <row r="59" spans="1:11" ht="17.25" customHeight="1">
      <c r="A59" s="101"/>
      <c r="B59" s="180" t="s">
        <v>77</v>
      </c>
      <c r="C59" s="182"/>
      <c r="D59" s="153" t="s">
        <v>78</v>
      </c>
      <c r="E59" s="154" t="s">
        <v>30</v>
      </c>
      <c r="F59" s="154" t="s">
        <v>38</v>
      </c>
      <c r="G59" s="111"/>
      <c r="H59" s="112"/>
      <c r="I59" s="188" t="s">
        <v>97</v>
      </c>
      <c r="J59" s="188"/>
      <c r="K59" s="67"/>
    </row>
    <row r="60" spans="1:11" ht="17.25" customHeight="1">
      <c r="A60" s="101"/>
      <c r="B60" s="5"/>
      <c r="C60" s="5" t="s">
        <v>79</v>
      </c>
      <c r="D60" s="18">
        <f>R35</f>
        <v>14.967058823529412</v>
      </c>
      <c r="E60" s="15">
        <f>IF(AD68=TRUE,D60+D41,D60*0)</f>
        <v>23.790588235294116</v>
      </c>
      <c r="F60" s="19">
        <f>E60*$D$26</f>
        <v>7.434558823529411</v>
      </c>
      <c r="G60" s="113">
        <f>IF(AD68=TRUE,F60,F60*0)</f>
        <v>7.434558823529411</v>
      </c>
      <c r="H60" s="112"/>
      <c r="I60" s="155">
        <v>560</v>
      </c>
      <c r="J60" s="8" t="s">
        <v>96</v>
      </c>
      <c r="K60" s="67"/>
    </row>
    <row r="61" spans="1:11" ht="17.25" customHeight="1">
      <c r="A61" s="101"/>
      <c r="B61" s="5"/>
      <c r="C61" s="5" t="s">
        <v>80</v>
      </c>
      <c r="D61" s="18">
        <f>R36</f>
        <v>10.865882352941176</v>
      </c>
      <c r="E61" s="15">
        <f>IF(AD69=TRUE,D61+D41,D61*0)</f>
        <v>0</v>
      </c>
      <c r="F61" s="19">
        <f>E61*$D$26</f>
        <v>0</v>
      </c>
      <c r="G61" s="113">
        <f>IF(AD69=TRUE,F61,F61*0)</f>
        <v>0</v>
      </c>
      <c r="H61" s="112"/>
      <c r="I61" s="112"/>
      <c r="J61" s="112"/>
      <c r="K61" s="67"/>
    </row>
    <row r="62" spans="1:11" ht="13.5">
      <c r="A62" s="101"/>
      <c r="B62" s="75"/>
      <c r="C62" s="114"/>
      <c r="D62" s="104"/>
      <c r="E62" s="102"/>
      <c r="F62" s="69"/>
      <c r="G62" s="111"/>
      <c r="H62" s="112"/>
      <c r="I62" s="112"/>
      <c r="J62" s="112"/>
      <c r="K62" s="67"/>
    </row>
    <row r="63" spans="1:11" ht="21.75" customHeight="1">
      <c r="A63" s="101"/>
      <c r="B63" s="184" t="s">
        <v>92</v>
      </c>
      <c r="C63" s="185"/>
      <c r="D63" s="186"/>
      <c r="E63" s="187" t="s">
        <v>39</v>
      </c>
      <c r="F63" s="187"/>
      <c r="G63" s="111"/>
      <c r="H63" s="112"/>
      <c r="I63" s="112"/>
      <c r="J63" s="112"/>
      <c r="K63" s="67"/>
    </row>
    <row r="64" spans="1:11" ht="21.75" customHeight="1">
      <c r="A64" s="101"/>
      <c r="B64" s="180" t="s">
        <v>77</v>
      </c>
      <c r="C64" s="182"/>
      <c r="D64" s="20" t="s">
        <v>40</v>
      </c>
      <c r="E64" s="191" t="s">
        <v>38</v>
      </c>
      <c r="F64" s="192"/>
      <c r="G64" s="113"/>
      <c r="H64" s="112"/>
      <c r="I64" s="112"/>
      <c r="J64" s="112"/>
      <c r="K64" s="67"/>
    </row>
    <row r="65" spans="1:11" ht="24.75" customHeight="1">
      <c r="A65" s="101"/>
      <c r="B65" s="5"/>
      <c r="C65" s="21" t="str">
        <f>IF(D45=J45,"Baja","Alta")</f>
        <v>Baja</v>
      </c>
      <c r="D65" s="22">
        <f>D45*D27</f>
        <v>128</v>
      </c>
      <c r="E65" s="178">
        <f>+F56+$G$60+$G$61</f>
        <v>10.59198069852941</v>
      </c>
      <c r="F65" s="179" t="e">
        <f>$D$24*($D$45/$D$47)+$D$45/($D$48*D65*$D$24)+(($D$45*0.006*$D$49)/(D65*$D$24))+$D$45*($D$50+$D$51)/(100*D65*$D$24)+($D$52/$D$24)+$D$72</f>
        <v>#DIV/0!</v>
      </c>
      <c r="G65" s="113"/>
      <c r="H65" s="112"/>
      <c r="I65" s="112"/>
      <c r="J65" s="112"/>
      <c r="K65" s="67"/>
    </row>
    <row r="66" spans="1:11" ht="13.5">
      <c r="A66" s="101"/>
      <c r="B66" s="75"/>
      <c r="C66" s="114"/>
      <c r="D66" s="104"/>
      <c r="E66" s="102"/>
      <c r="F66" s="115"/>
      <c r="G66" s="116"/>
      <c r="H66" s="75"/>
      <c r="I66" s="75"/>
      <c r="J66" s="75"/>
      <c r="K66" s="67"/>
    </row>
    <row r="67" spans="1:11" ht="13.5">
      <c r="A67" s="101"/>
      <c r="B67" s="75"/>
      <c r="C67" s="75"/>
      <c r="D67" s="104"/>
      <c r="E67" s="104"/>
      <c r="F67" s="75"/>
      <c r="G67" s="76"/>
      <c r="H67" s="75"/>
      <c r="I67" s="75"/>
      <c r="J67" s="75"/>
      <c r="K67" s="67"/>
    </row>
    <row r="68" spans="1:30" ht="13.5">
      <c r="A68" s="117"/>
      <c r="B68" s="118"/>
      <c r="C68" s="119"/>
      <c r="D68" s="120"/>
      <c r="E68" s="120"/>
      <c r="F68" s="121"/>
      <c r="G68" s="122"/>
      <c r="H68" s="118"/>
      <c r="I68" s="118"/>
      <c r="J68" s="118"/>
      <c r="K68" s="123"/>
      <c r="AD68" s="134" t="b">
        <v>1</v>
      </c>
    </row>
    <row r="69" spans="4:30" ht="13.5">
      <c r="D69" s="11"/>
      <c r="F69" s="23"/>
      <c r="G69" s="17"/>
      <c r="K69" s="24"/>
      <c r="AD69" s="134" t="b">
        <v>0</v>
      </c>
    </row>
    <row r="70" spans="4:11" ht="12.75" customHeight="1">
      <c r="D70" s="11"/>
      <c r="K70" s="24"/>
    </row>
    <row r="71" ht="13.5">
      <c r="D71" s="11"/>
    </row>
    <row r="72" spans="3:7" ht="13.5">
      <c r="C72" s="16"/>
      <c r="D72" s="11"/>
      <c r="E72" s="4"/>
      <c r="F72" s="23"/>
      <c r="G72" s="17"/>
    </row>
    <row r="73" spans="4:30" ht="13.5">
      <c r="D73" s="11"/>
      <c r="E73" s="4"/>
      <c r="F73" s="23"/>
      <c r="G73" s="17"/>
      <c r="AD73" s="134" t="b">
        <v>1</v>
      </c>
    </row>
    <row r="74" ht="13.5">
      <c r="AD74" s="134" t="b">
        <v>0</v>
      </c>
    </row>
  </sheetData>
  <sheetProtection/>
  <mergeCells count="53">
    <mergeCell ref="I59:J59"/>
    <mergeCell ref="M9:N9"/>
    <mergeCell ref="B64:C64"/>
    <mergeCell ref="E64:F64"/>
    <mergeCell ref="B40:C40"/>
    <mergeCell ref="B44:C44"/>
    <mergeCell ref="B54:C54"/>
    <mergeCell ref="B52:C52"/>
    <mergeCell ref="B49:C49"/>
    <mergeCell ref="B50:C50"/>
    <mergeCell ref="B53:C53"/>
    <mergeCell ref="B45:C45"/>
    <mergeCell ref="B47:C47"/>
    <mergeCell ref="E65:F65"/>
    <mergeCell ref="B58:D58"/>
    <mergeCell ref="E58:F58"/>
    <mergeCell ref="B59:C59"/>
    <mergeCell ref="B63:D63"/>
    <mergeCell ref="E63:F63"/>
    <mergeCell ref="I51:J51"/>
    <mergeCell ref="B26:C26"/>
    <mergeCell ref="B29:C29"/>
    <mergeCell ref="B33:C33"/>
    <mergeCell ref="B22:C22"/>
    <mergeCell ref="B24:C24"/>
    <mergeCell ref="B25:C25"/>
    <mergeCell ref="B38:C38"/>
    <mergeCell ref="B51:C51"/>
    <mergeCell ref="I44:J44"/>
    <mergeCell ref="M31:M32"/>
    <mergeCell ref="M30:O30"/>
    <mergeCell ref="I38:J38"/>
    <mergeCell ref="I12:J12"/>
    <mergeCell ref="I17:J17"/>
    <mergeCell ref="B36:C36"/>
    <mergeCell ref="B30:C30"/>
    <mergeCell ref="B32:C32"/>
    <mergeCell ref="B35:C35"/>
    <mergeCell ref="M21:N21"/>
    <mergeCell ref="I33:J33"/>
    <mergeCell ref="I27:J27"/>
    <mergeCell ref="I22:J22"/>
    <mergeCell ref="M24:N24"/>
    <mergeCell ref="Q32:R33"/>
    <mergeCell ref="M33:M34"/>
    <mergeCell ref="M35:M36"/>
    <mergeCell ref="B12:C12"/>
    <mergeCell ref="B13:C13"/>
    <mergeCell ref="B16:C16"/>
    <mergeCell ref="B18:C18"/>
    <mergeCell ref="B17:C17"/>
    <mergeCell ref="B20:C20"/>
    <mergeCell ref="B19:C19"/>
  </mergeCells>
  <conditionalFormatting sqref="J28:J31">
    <cfRule type="cellIs" priority="1" dxfId="0" operator="equal" stopIfTrue="1">
      <formula>$D$33</formula>
    </cfRule>
  </conditionalFormatting>
  <conditionalFormatting sqref="J23:J25">
    <cfRule type="cellIs" priority="2" dxfId="0" operator="equal" stopIfTrue="1">
      <formula>$D$29</formula>
    </cfRule>
  </conditionalFormatting>
  <conditionalFormatting sqref="J18:J20">
    <cfRule type="cellIs" priority="3" dxfId="0" operator="equal" stopIfTrue="1">
      <formula>$D$25</formula>
    </cfRule>
  </conditionalFormatting>
  <conditionalFormatting sqref="J35">
    <cfRule type="expression" priority="4" dxfId="0" stopIfTrue="1">
      <formula>$D$29=25</formula>
    </cfRule>
  </conditionalFormatting>
  <conditionalFormatting sqref="J36">
    <cfRule type="expression" priority="5" dxfId="0" stopIfTrue="1">
      <formula>$D$29=50</formula>
    </cfRule>
  </conditionalFormatting>
  <conditionalFormatting sqref="J37">
    <cfRule type="expression" priority="6" dxfId="0" stopIfTrue="1">
      <formula>$D$29=75</formula>
    </cfRule>
  </conditionalFormatting>
  <conditionalFormatting sqref="J39:J40 J13:J15">
    <cfRule type="cellIs" priority="7" dxfId="0" operator="equal" stopIfTrue="1">
      <formula>$D$12</formula>
    </cfRule>
  </conditionalFormatting>
  <conditionalFormatting sqref="C61">
    <cfRule type="expression" priority="8" dxfId="0" stopIfTrue="1">
      <formula>$G$61&gt;0</formula>
    </cfRule>
  </conditionalFormatting>
  <conditionalFormatting sqref="C60">
    <cfRule type="expression" priority="9" dxfId="0" stopIfTrue="1">
      <formula>$G$60&gt;0</formula>
    </cfRule>
  </conditionalFormatting>
  <conditionalFormatting sqref="J45:J46">
    <cfRule type="cellIs" priority="10" dxfId="0" operator="equal" stopIfTrue="1">
      <formula>$D$45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BA129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95.421875" style="95" customWidth="1"/>
    <col min="2" max="53" width="11.421875" style="85" customWidth="1"/>
  </cols>
  <sheetData>
    <row r="1" ht="12.75">
      <c r="A1" s="125"/>
    </row>
    <row r="2" ht="12.75">
      <c r="A2" s="125"/>
    </row>
    <row r="3" ht="12.75">
      <c r="A3" s="125"/>
    </row>
    <row r="4" ht="12.75">
      <c r="A4" s="125"/>
    </row>
    <row r="5" ht="12.75">
      <c r="A5" s="125"/>
    </row>
    <row r="6" ht="12.75">
      <c r="A6" s="125"/>
    </row>
    <row r="7" ht="12.75">
      <c r="A7" s="125"/>
    </row>
    <row r="8" ht="12.75">
      <c r="A8" s="125"/>
    </row>
    <row r="9" spans="1:53" s="89" customFormat="1" ht="12.75">
      <c r="A9" s="126" t="s">
        <v>116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</row>
    <row r="10" spans="1:53" s="89" customFormat="1" ht="9.75" customHeight="1">
      <c r="A10" s="125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</row>
    <row r="11" spans="1:53" s="91" customFormat="1" ht="13.5" customHeight="1">
      <c r="A11" s="127" t="s">
        <v>93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</row>
    <row r="12" spans="1:53" s="91" customFormat="1" ht="33.75" customHeight="1">
      <c r="A12" s="127" t="s">
        <v>117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</row>
    <row r="13" spans="1:53" s="91" customFormat="1" ht="33.75" customHeight="1">
      <c r="A13" s="127" t="s">
        <v>98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</row>
    <row r="14" spans="1:53" s="91" customFormat="1" ht="33.75" customHeight="1">
      <c r="A14" s="127" t="s">
        <v>99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</row>
    <row r="15" spans="1:53" s="91" customFormat="1" ht="18" customHeight="1">
      <c r="A15" s="127" t="s">
        <v>100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</row>
    <row r="16" spans="1:53" s="91" customFormat="1" ht="21" customHeight="1">
      <c r="A16" s="127" t="s">
        <v>118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</row>
    <row r="17" spans="1:53" s="91" customFormat="1" ht="33.75" customHeight="1">
      <c r="A17" s="127" t="s">
        <v>101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</row>
    <row r="18" spans="1:53" s="91" customFormat="1" ht="33.75" customHeight="1">
      <c r="A18" s="127" t="s">
        <v>102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</row>
    <row r="19" spans="1:53" s="91" customFormat="1" ht="6.75" customHeight="1">
      <c r="A19" s="127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</row>
    <row r="20" spans="1:53" s="91" customFormat="1" ht="17.25" customHeight="1">
      <c r="A20" s="127" t="s">
        <v>94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</row>
    <row r="21" spans="1:53" s="91" customFormat="1" ht="18.75" customHeight="1">
      <c r="A21" s="127" t="s">
        <v>110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</row>
    <row r="22" spans="1:53" s="91" customFormat="1" ht="33.75" customHeight="1">
      <c r="A22" s="127" t="s">
        <v>103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</row>
    <row r="23" spans="1:53" s="91" customFormat="1" ht="33.75" customHeight="1">
      <c r="A23" s="127" t="s">
        <v>119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</row>
    <row r="24" spans="1:53" s="91" customFormat="1" ht="22.5" customHeight="1">
      <c r="A24" s="127" t="s">
        <v>104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</row>
    <row r="25" spans="1:53" s="91" customFormat="1" ht="23.25" customHeight="1">
      <c r="A25" s="127" t="s">
        <v>105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</row>
    <row r="26" spans="1:53" s="91" customFormat="1" ht="20.25" customHeight="1">
      <c r="A26" s="127" t="s">
        <v>120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</row>
    <row r="27" spans="1:53" s="91" customFormat="1" ht="22.5" customHeight="1">
      <c r="A27" s="127" t="s">
        <v>106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</row>
    <row r="28" spans="1:53" s="91" customFormat="1" ht="21" customHeight="1">
      <c r="A28" s="127" t="s">
        <v>107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</row>
    <row r="29" spans="1:53" s="91" customFormat="1" ht="19.5" customHeight="1">
      <c r="A29" s="127" t="s">
        <v>108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</row>
    <row r="30" spans="1:53" s="91" customFormat="1" ht="33.75" customHeight="1">
      <c r="A30" s="127" t="s">
        <v>109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</row>
    <row r="31" spans="1:53" s="91" customFormat="1" ht="33.75" customHeight="1">
      <c r="A31" s="127" t="s">
        <v>95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</row>
    <row r="32" s="90" customFormat="1" ht="18" customHeight="1">
      <c r="A32" s="127"/>
    </row>
    <row r="33" s="90" customFormat="1" ht="33.75" customHeight="1">
      <c r="A33" s="92"/>
    </row>
    <row r="34" s="90" customFormat="1" ht="33.75" customHeight="1">
      <c r="A34" s="92"/>
    </row>
    <row r="35" s="90" customFormat="1" ht="33.75" customHeight="1">
      <c r="A35" s="92"/>
    </row>
    <row r="36" s="90" customFormat="1" ht="33.75" customHeight="1">
      <c r="A36" s="92"/>
    </row>
    <row r="37" s="88" customFormat="1" ht="12.75">
      <c r="A37" s="93"/>
    </row>
    <row r="38" s="88" customFormat="1" ht="12.75">
      <c r="A38" s="93"/>
    </row>
    <row r="39" s="88" customFormat="1" ht="12.75">
      <c r="A39" s="93"/>
    </row>
    <row r="40" s="88" customFormat="1" ht="12.75">
      <c r="A40" s="93"/>
    </row>
    <row r="41" s="88" customFormat="1" ht="12.75">
      <c r="A41" s="93"/>
    </row>
    <row r="42" s="88" customFormat="1" ht="12.75">
      <c r="A42" s="93"/>
    </row>
    <row r="43" ht="12.75">
      <c r="A43" s="94"/>
    </row>
    <row r="44" ht="12.75">
      <c r="A44" s="94"/>
    </row>
    <row r="45" ht="12.75">
      <c r="A45" s="94"/>
    </row>
    <row r="46" ht="12.75">
      <c r="A46" s="94"/>
    </row>
    <row r="47" ht="12.75">
      <c r="A47" s="94"/>
    </row>
    <row r="48" ht="12.75">
      <c r="A48" s="94"/>
    </row>
    <row r="49" ht="12.75">
      <c r="A49" s="94"/>
    </row>
    <row r="50" ht="12.75">
      <c r="A50" s="94"/>
    </row>
    <row r="51" ht="12.75">
      <c r="A51" s="94"/>
    </row>
    <row r="52" ht="12.75">
      <c r="A52" s="94"/>
    </row>
    <row r="53" ht="12.75">
      <c r="A53" s="94"/>
    </row>
    <row r="54" ht="12.75">
      <c r="A54" s="94"/>
    </row>
    <row r="55" ht="12.75">
      <c r="A55" s="94"/>
    </row>
    <row r="56" ht="12.75">
      <c r="A56" s="94"/>
    </row>
    <row r="57" ht="12.75">
      <c r="A57" s="94"/>
    </row>
    <row r="58" ht="12.75">
      <c r="A58" s="94"/>
    </row>
    <row r="59" ht="12.75">
      <c r="A59" s="94"/>
    </row>
    <row r="60" ht="12.75">
      <c r="A60" s="94"/>
    </row>
    <row r="61" ht="12.75">
      <c r="A61" s="94"/>
    </row>
    <row r="62" ht="12.75">
      <c r="A62" s="94"/>
    </row>
    <row r="63" ht="12.75">
      <c r="A63" s="94"/>
    </row>
    <row r="64" ht="12.75">
      <c r="A64" s="94"/>
    </row>
    <row r="65" ht="12.75">
      <c r="A65" s="94"/>
    </row>
    <row r="66" ht="12.75">
      <c r="A66" s="94"/>
    </row>
    <row r="67" ht="12.75">
      <c r="A67" s="94"/>
    </row>
    <row r="68" ht="12.75">
      <c r="A68" s="94"/>
    </row>
    <row r="69" ht="12.75">
      <c r="A69" s="94"/>
    </row>
    <row r="70" ht="12.75">
      <c r="A70" s="94"/>
    </row>
    <row r="71" ht="12.75">
      <c r="A71" s="94"/>
    </row>
    <row r="72" ht="12.75">
      <c r="A72" s="94"/>
    </row>
    <row r="73" ht="12.75">
      <c r="A73" s="94"/>
    </row>
    <row r="74" ht="12.75">
      <c r="A74" s="94"/>
    </row>
    <row r="75" ht="12.75">
      <c r="A75" s="94"/>
    </row>
    <row r="76" ht="12.75">
      <c r="A76" s="94"/>
    </row>
    <row r="77" ht="12.75">
      <c r="A77" s="94"/>
    </row>
    <row r="78" ht="12.75">
      <c r="A78" s="94"/>
    </row>
    <row r="79" ht="12.75">
      <c r="A79" s="94"/>
    </row>
    <row r="80" ht="12.75">
      <c r="A80" s="94"/>
    </row>
    <row r="81" ht="12.75">
      <c r="A81" s="94"/>
    </row>
    <row r="82" ht="12.75">
      <c r="A82" s="94"/>
    </row>
    <row r="83" ht="12.75">
      <c r="A83" s="94"/>
    </row>
    <row r="84" ht="12.75">
      <c r="A84" s="94"/>
    </row>
    <row r="85" ht="12.75">
      <c r="A85" s="94"/>
    </row>
    <row r="86" ht="12.75">
      <c r="A86" s="94"/>
    </row>
    <row r="87" ht="12.75">
      <c r="A87" s="94"/>
    </row>
    <row r="88" ht="12.75">
      <c r="A88" s="94"/>
    </row>
    <row r="89" ht="12.75">
      <c r="A89" s="94"/>
    </row>
    <row r="90" ht="12.75">
      <c r="A90" s="94"/>
    </row>
    <row r="91" ht="12.75">
      <c r="A91" s="94"/>
    </row>
    <row r="92" ht="12.75">
      <c r="A92" s="94"/>
    </row>
    <row r="93" ht="12.75">
      <c r="A93" s="94"/>
    </row>
    <row r="94" ht="12.75">
      <c r="A94" s="94"/>
    </row>
    <row r="95" ht="12.75">
      <c r="A95" s="94"/>
    </row>
    <row r="96" ht="12.75">
      <c r="A96" s="94"/>
    </row>
    <row r="97" ht="12.75">
      <c r="A97" s="94"/>
    </row>
    <row r="98" ht="12.75">
      <c r="A98" s="94"/>
    </row>
    <row r="99" ht="12.75">
      <c r="A99" s="94"/>
    </row>
    <row r="100" ht="12.75">
      <c r="A100" s="94"/>
    </row>
    <row r="101" ht="12.75">
      <c r="A101" s="94"/>
    </row>
    <row r="102" ht="12.75">
      <c r="A102" s="94"/>
    </row>
    <row r="103" ht="12.75">
      <c r="A103" s="94"/>
    </row>
    <row r="104" ht="12.75">
      <c r="A104" s="94"/>
    </row>
    <row r="105" ht="12.75">
      <c r="A105" s="94"/>
    </row>
    <row r="106" ht="12.75">
      <c r="A106" s="94"/>
    </row>
    <row r="107" ht="12.75">
      <c r="A107" s="94"/>
    </row>
    <row r="108" ht="12.75">
      <c r="A108" s="94"/>
    </row>
    <row r="109" ht="12.75">
      <c r="A109" s="94"/>
    </row>
    <row r="110" ht="12.75">
      <c r="A110" s="94"/>
    </row>
    <row r="111" ht="12.75">
      <c r="A111" s="94"/>
    </row>
    <row r="112" ht="12.75">
      <c r="A112" s="94"/>
    </row>
    <row r="113" ht="12.75">
      <c r="A113" s="94"/>
    </row>
    <row r="114" ht="12.75">
      <c r="A114" s="94"/>
    </row>
    <row r="115" ht="12.75">
      <c r="A115" s="94"/>
    </row>
    <row r="116" ht="12.75">
      <c r="A116" s="94"/>
    </row>
    <row r="117" ht="12.75">
      <c r="A117" s="94"/>
    </row>
    <row r="118" ht="12.75">
      <c r="A118" s="94"/>
    </row>
    <row r="119" ht="12.75">
      <c r="A119" s="94"/>
    </row>
    <row r="120" ht="12.75">
      <c r="A120" s="94"/>
    </row>
    <row r="121" ht="12.75">
      <c r="A121" s="94"/>
    </row>
    <row r="122" ht="12.75">
      <c r="A122" s="94"/>
    </row>
    <row r="123" ht="12.75">
      <c r="A123" s="94"/>
    </row>
    <row r="124" ht="12.75">
      <c r="A124" s="94"/>
    </row>
    <row r="125" ht="12.75">
      <c r="A125" s="94"/>
    </row>
    <row r="126" ht="12.75">
      <c r="A126" s="94"/>
    </row>
    <row r="127" ht="12.75">
      <c r="A127" s="94"/>
    </row>
    <row r="128" ht="12.75">
      <c r="A128" s="94"/>
    </row>
    <row r="129" ht="12.75">
      <c r="A129" s="94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2008-09-11T07:43:16Z</cp:lastPrinted>
  <dcterms:created xsi:type="dcterms:W3CDTF">2006-04-10T08:55:06Z</dcterms:created>
  <dcterms:modified xsi:type="dcterms:W3CDTF">2014-06-27T07:53:59Z</dcterms:modified>
  <cp:category/>
  <cp:version/>
  <cp:contentType/>
  <cp:contentStatus/>
</cp:coreProperties>
</file>