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515" windowHeight="12585" activeTab="6"/>
  </bookViews>
  <sheets>
    <sheet name="Codos 22,5º" sheetId="7" r:id="rId1"/>
    <sheet name="Codos 45º" sheetId="21" r:id="rId2"/>
    <sheet name="Codos 90º" sheetId="22" r:id="rId3"/>
    <sheet name="Tes_(más desfav)" sheetId="25" r:id="rId4"/>
    <sheet name="Tapón" sheetId="10" r:id="rId5"/>
    <sheet name="Reducciones" sheetId="28" r:id="rId6"/>
    <sheet name="Tablas Tipo Terreno" sheetId="2" r:id="rId7"/>
    <sheet name="Resumen Codos" sheetId="8" r:id="rId8"/>
    <sheet name="Resumen Tes (segun Epanet)" sheetId="23" r:id="rId9"/>
    <sheet name="Resumen Tes (más desfv)" sheetId="26" r:id="rId10"/>
    <sheet name="Resumen Tapón" sheetId="27" r:id="rId11"/>
  </sheets>
  <calcPr calcId="124519"/>
</workbook>
</file>

<file path=xl/calcChain.xml><?xml version="1.0" encoding="utf-8"?>
<calcChain xmlns="http://schemas.openxmlformats.org/spreadsheetml/2006/main">
  <c r="K2" i="2"/>
  <c r="N28" i="10"/>
  <c r="O28" s="1"/>
  <c r="M28"/>
  <c r="I28"/>
  <c r="AG28" s="1"/>
  <c r="F28"/>
  <c r="G28" s="1"/>
  <c r="E28"/>
  <c r="AI28" s="1"/>
  <c r="C28"/>
  <c r="AG27"/>
  <c r="AC27"/>
  <c r="N27"/>
  <c r="O27" s="1"/>
  <c r="Q27" s="1"/>
  <c r="V27" s="1"/>
  <c r="W27" s="1"/>
  <c r="M27"/>
  <c r="I27"/>
  <c r="AH27" s="1"/>
  <c r="F27"/>
  <c r="G27" s="1"/>
  <c r="AP27" s="1"/>
  <c r="E27"/>
  <c r="AB27" s="1"/>
  <c r="C27"/>
  <c r="O26"/>
  <c r="N26"/>
  <c r="M26"/>
  <c r="Q26" s="1"/>
  <c r="V26" s="1"/>
  <c r="W26" s="1"/>
  <c r="I26"/>
  <c r="AG26" s="1"/>
  <c r="F26"/>
  <c r="G26" s="1"/>
  <c r="E26"/>
  <c r="AI26" s="1"/>
  <c r="C26"/>
  <c r="AG25"/>
  <c r="AC25"/>
  <c r="N25"/>
  <c r="O25" s="1"/>
  <c r="Q25" s="1"/>
  <c r="V25" s="1"/>
  <c r="W25" s="1"/>
  <c r="M25"/>
  <c r="I25"/>
  <c r="AH25" s="1"/>
  <c r="F25"/>
  <c r="G25" s="1"/>
  <c r="AP25" s="1"/>
  <c r="E25"/>
  <c r="AB25" s="1"/>
  <c r="C25"/>
  <c r="O24"/>
  <c r="N24"/>
  <c r="M24"/>
  <c r="Q24" s="1"/>
  <c r="V24" s="1"/>
  <c r="W24" s="1"/>
  <c r="I24"/>
  <c r="AG24" s="1"/>
  <c r="F24"/>
  <c r="G24" s="1"/>
  <c r="E24"/>
  <c r="AI24" s="1"/>
  <c r="C24"/>
  <c r="AP28" i="25"/>
  <c r="AA28"/>
  <c r="X28"/>
  <c r="W28"/>
  <c r="U28"/>
  <c r="T28"/>
  <c r="L28"/>
  <c r="AF28" s="1"/>
  <c r="K28"/>
  <c r="J28"/>
  <c r="AB28" s="1"/>
  <c r="G28"/>
  <c r="H28" s="1"/>
  <c r="F28"/>
  <c r="AD28" s="1"/>
  <c r="D28"/>
  <c r="AP27"/>
  <c r="AB27"/>
  <c r="AA27"/>
  <c r="X27"/>
  <c r="W27"/>
  <c r="T27"/>
  <c r="K27"/>
  <c r="L27" s="1"/>
  <c r="J27"/>
  <c r="AE27" s="1"/>
  <c r="H27"/>
  <c r="AG27" s="1"/>
  <c r="G27"/>
  <c r="F27"/>
  <c r="AU27" s="1"/>
  <c r="D27"/>
  <c r="AU26"/>
  <c r="AP26"/>
  <c r="AC26"/>
  <c r="AA26"/>
  <c r="X26"/>
  <c r="W26"/>
  <c r="U26"/>
  <c r="T26"/>
  <c r="L26"/>
  <c r="AF26" s="1"/>
  <c r="K26"/>
  <c r="J26"/>
  <c r="AB26" s="1"/>
  <c r="G26"/>
  <c r="H26" s="1"/>
  <c r="F26"/>
  <c r="AD26" s="1"/>
  <c r="D26"/>
  <c r="AP25"/>
  <c r="AB25"/>
  <c r="AA25"/>
  <c r="X25"/>
  <c r="W25"/>
  <c r="T25"/>
  <c r="K25"/>
  <c r="L25" s="1"/>
  <c r="J25"/>
  <c r="AE25" s="1"/>
  <c r="H25"/>
  <c r="AG25" s="1"/>
  <c r="G25"/>
  <c r="F25"/>
  <c r="AU25" s="1"/>
  <c r="D25"/>
  <c r="AU24"/>
  <c r="AP24"/>
  <c r="AC24"/>
  <c r="AA24"/>
  <c r="X24"/>
  <c r="W24"/>
  <c r="U24"/>
  <c r="T24"/>
  <c r="L24"/>
  <c r="AF24" s="1"/>
  <c r="K24"/>
  <c r="J24"/>
  <c r="AB24" s="1"/>
  <c r="G24"/>
  <c r="H24" s="1"/>
  <c r="F24"/>
  <c r="AD24" s="1"/>
  <c r="D24"/>
  <c r="W29" i="22"/>
  <c r="T29"/>
  <c r="S29"/>
  <c r="P29"/>
  <c r="M29"/>
  <c r="F29"/>
  <c r="Q29" s="1"/>
  <c r="D29"/>
  <c r="W28"/>
  <c r="T28"/>
  <c r="S28"/>
  <c r="P28"/>
  <c r="M28"/>
  <c r="F28"/>
  <c r="R28" s="1"/>
  <c r="D28"/>
  <c r="W27"/>
  <c r="T27"/>
  <c r="S27"/>
  <c r="P27"/>
  <c r="M27"/>
  <c r="F27"/>
  <c r="Q27" s="1"/>
  <c r="D27"/>
  <c r="W28" i="7"/>
  <c r="T28"/>
  <c r="S28"/>
  <c r="P28"/>
  <c r="M28"/>
  <c r="F28"/>
  <c r="Q28" s="1"/>
  <c r="D28"/>
  <c r="W27"/>
  <c r="T27"/>
  <c r="S27"/>
  <c r="P27"/>
  <c r="M27"/>
  <c r="F27"/>
  <c r="R27" s="1"/>
  <c r="D27"/>
  <c r="W26"/>
  <c r="T26"/>
  <c r="S26"/>
  <c r="P26"/>
  <c r="M26"/>
  <c r="F26"/>
  <c r="Q26" s="1"/>
  <c r="D26"/>
  <c r="D27" i="21"/>
  <c r="F27"/>
  <c r="G27" s="1"/>
  <c r="AA27" s="1"/>
  <c r="H27"/>
  <c r="I27" s="1"/>
  <c r="K27"/>
  <c r="M27"/>
  <c r="P27"/>
  <c r="Q27"/>
  <c r="R27"/>
  <c r="S27"/>
  <c r="T27"/>
  <c r="U27"/>
  <c r="V27"/>
  <c r="W27"/>
  <c r="X27"/>
  <c r="Y27"/>
  <c r="Z27"/>
  <c r="AH27"/>
  <c r="D28"/>
  <c r="F28"/>
  <c r="G28" s="1"/>
  <c r="AA28" s="1"/>
  <c r="H28"/>
  <c r="K28"/>
  <c r="M28"/>
  <c r="P28"/>
  <c r="Q28"/>
  <c r="R28"/>
  <c r="S28"/>
  <c r="T28"/>
  <c r="U28"/>
  <c r="V28"/>
  <c r="W28"/>
  <c r="X28"/>
  <c r="Y28"/>
  <c r="Z28"/>
  <c r="AH28"/>
  <c r="D29"/>
  <c r="F29"/>
  <c r="G29" s="1"/>
  <c r="AA29" s="1"/>
  <c r="H29"/>
  <c r="K29"/>
  <c r="M29"/>
  <c r="P29"/>
  <c r="Q29"/>
  <c r="R29"/>
  <c r="S29"/>
  <c r="T29"/>
  <c r="U29"/>
  <c r="V29"/>
  <c r="W29"/>
  <c r="X29"/>
  <c r="Y29"/>
  <c r="Z29"/>
  <c r="AH29"/>
  <c r="J19" i="28"/>
  <c r="J20"/>
  <c r="J21"/>
  <c r="J22"/>
  <c r="J23"/>
  <c r="J18"/>
  <c r="H19"/>
  <c r="H20"/>
  <c r="H21"/>
  <c r="H22"/>
  <c r="H23"/>
  <c r="H18"/>
  <c r="F19"/>
  <c r="F20"/>
  <c r="F21"/>
  <c r="F22"/>
  <c r="F23"/>
  <c r="F24"/>
  <c r="F25"/>
  <c r="F26"/>
  <c r="F27"/>
  <c r="F28"/>
  <c r="F29"/>
  <c r="F18"/>
  <c r="W24"/>
  <c r="X24" s="1"/>
  <c r="W25"/>
  <c r="X25" s="1"/>
  <c r="W26"/>
  <c r="X26" s="1"/>
  <c r="W27"/>
  <c r="X27" s="1"/>
  <c r="W28"/>
  <c r="X28" s="1"/>
  <c r="W29"/>
  <c r="X29" s="1"/>
  <c r="S19"/>
  <c r="S20"/>
  <c r="S21"/>
  <c r="N29"/>
  <c r="O29"/>
  <c r="P29" s="1"/>
  <c r="R29" s="1"/>
  <c r="N28"/>
  <c r="O28"/>
  <c r="P28" s="1"/>
  <c r="R28" s="1"/>
  <c r="N27"/>
  <c r="O27"/>
  <c r="P27" s="1"/>
  <c r="R27" s="1"/>
  <c r="N26"/>
  <c r="O26"/>
  <c r="P26" s="1"/>
  <c r="R26" s="1"/>
  <c r="N25"/>
  <c r="O25"/>
  <c r="P25" s="1"/>
  <c r="N24"/>
  <c r="O24"/>
  <c r="P24"/>
  <c r="I24"/>
  <c r="J24" s="1"/>
  <c r="I25"/>
  <c r="J25" s="1"/>
  <c r="I26"/>
  <c r="J26" s="1"/>
  <c r="I27"/>
  <c r="J27" s="1"/>
  <c r="I28"/>
  <c r="J28" s="1"/>
  <c r="I29"/>
  <c r="J29" s="1"/>
  <c r="I19"/>
  <c r="I20"/>
  <c r="I21"/>
  <c r="I22"/>
  <c r="I23"/>
  <c r="AH23" s="1"/>
  <c r="I18"/>
  <c r="Y29"/>
  <c r="AB29"/>
  <c r="AF29"/>
  <c r="G29"/>
  <c r="H29" s="1"/>
  <c r="AQ29" s="1"/>
  <c r="Y28"/>
  <c r="AB28"/>
  <c r="AC28"/>
  <c r="AF28"/>
  <c r="AJ28"/>
  <c r="G28"/>
  <c r="H28" s="1"/>
  <c r="Y27"/>
  <c r="AB27"/>
  <c r="AF27"/>
  <c r="G27"/>
  <c r="H27" s="1"/>
  <c r="Y26"/>
  <c r="AB26"/>
  <c r="AC26"/>
  <c r="AF26"/>
  <c r="AJ26"/>
  <c r="G26"/>
  <c r="H26" s="1"/>
  <c r="Y25"/>
  <c r="AB25"/>
  <c r="AC25"/>
  <c r="AF25"/>
  <c r="AJ25"/>
  <c r="G25"/>
  <c r="H25" s="1"/>
  <c r="AQ25" s="1"/>
  <c r="Y24"/>
  <c r="AB24"/>
  <c r="AF24"/>
  <c r="AJ24"/>
  <c r="G24"/>
  <c r="H24" s="1"/>
  <c r="AQ24" s="1"/>
  <c r="D24"/>
  <c r="D25"/>
  <c r="D26"/>
  <c r="D27"/>
  <c r="D28"/>
  <c r="D29"/>
  <c r="D19"/>
  <c r="D20"/>
  <c r="D21"/>
  <c r="D22"/>
  <c r="D23"/>
  <c r="D18"/>
  <c r="O23"/>
  <c r="P23" s="1"/>
  <c r="N23"/>
  <c r="G23"/>
  <c r="AJ23"/>
  <c r="O22"/>
  <c r="P22" s="1"/>
  <c r="R22" s="1"/>
  <c r="W22" s="1"/>
  <c r="X22" s="1"/>
  <c r="N22"/>
  <c r="G22"/>
  <c r="AC22"/>
  <c r="O21"/>
  <c r="P21" s="1"/>
  <c r="R21" s="1"/>
  <c r="W21" s="1"/>
  <c r="X21" s="1"/>
  <c r="N21"/>
  <c r="G21"/>
  <c r="AC21"/>
  <c r="O20"/>
  <c r="P20" s="1"/>
  <c r="R20" s="1"/>
  <c r="W20" s="1"/>
  <c r="X20" s="1"/>
  <c r="N20"/>
  <c r="G20"/>
  <c r="AC20"/>
  <c r="O19"/>
  <c r="P19" s="1"/>
  <c r="R19" s="1"/>
  <c r="W19" s="1"/>
  <c r="X19" s="1"/>
  <c r="N19"/>
  <c r="G19"/>
  <c r="AC19"/>
  <c r="O18"/>
  <c r="P18" s="1"/>
  <c r="N18"/>
  <c r="G18"/>
  <c r="AC18"/>
  <c r="D6"/>
  <c r="D6" i="10"/>
  <c r="D6" i="25"/>
  <c r="D6" i="22"/>
  <c r="D6" i="21"/>
  <c r="K19" i="25"/>
  <c r="K20"/>
  <c r="K21"/>
  <c r="K22"/>
  <c r="K23"/>
  <c r="K18"/>
  <c r="G19"/>
  <c r="G20"/>
  <c r="G21"/>
  <c r="G22"/>
  <c r="G23"/>
  <c r="G18"/>
  <c r="F19" i="21"/>
  <c r="G19" s="1"/>
  <c r="AA19" s="1"/>
  <c r="M19"/>
  <c r="P19"/>
  <c r="R19"/>
  <c r="S19"/>
  <c r="T19"/>
  <c r="W19"/>
  <c r="F20"/>
  <c r="G20" s="1"/>
  <c r="AA20" s="1"/>
  <c r="M20"/>
  <c r="P20"/>
  <c r="S20"/>
  <c r="T20"/>
  <c r="W20"/>
  <c r="F21"/>
  <c r="G21" s="1"/>
  <c r="AA21" s="1"/>
  <c r="H21"/>
  <c r="I21" s="1"/>
  <c r="M21"/>
  <c r="P21"/>
  <c r="Q21"/>
  <c r="S21"/>
  <c r="T21"/>
  <c r="W21"/>
  <c r="F22"/>
  <c r="G22" s="1"/>
  <c r="AA22" s="1"/>
  <c r="M22"/>
  <c r="P22"/>
  <c r="S22"/>
  <c r="T22"/>
  <c r="W22"/>
  <c r="F23"/>
  <c r="G23" s="1"/>
  <c r="AA23" s="1"/>
  <c r="M23"/>
  <c r="P23"/>
  <c r="Q23"/>
  <c r="S23"/>
  <c r="T23"/>
  <c r="W23"/>
  <c r="F24"/>
  <c r="G24" s="1"/>
  <c r="AA24" s="1"/>
  <c r="M24"/>
  <c r="P24"/>
  <c r="S24"/>
  <c r="T24"/>
  <c r="W24"/>
  <c r="F25"/>
  <c r="G25" s="1"/>
  <c r="AA25" s="1"/>
  <c r="M25"/>
  <c r="P25"/>
  <c r="S25"/>
  <c r="T25"/>
  <c r="W25"/>
  <c r="F26"/>
  <c r="G26" s="1"/>
  <c r="AA26" s="1"/>
  <c r="M26"/>
  <c r="P26"/>
  <c r="Q26"/>
  <c r="S26"/>
  <c r="T26"/>
  <c r="W26"/>
  <c r="O20" i="10"/>
  <c r="O22"/>
  <c r="O18"/>
  <c r="M19"/>
  <c r="M20"/>
  <c r="M21"/>
  <c r="M22"/>
  <c r="M23"/>
  <c r="M18"/>
  <c r="AP19" i="25"/>
  <c r="AP20"/>
  <c r="AP21"/>
  <c r="AP22"/>
  <c r="AP23"/>
  <c r="AP18"/>
  <c r="D6" i="7"/>
  <c r="I23" i="10"/>
  <c r="F9" i="27" s="1"/>
  <c r="F23" i="10"/>
  <c r="G23" s="1"/>
  <c r="E9" i="27" s="1"/>
  <c r="E23" i="10"/>
  <c r="AA23" s="1"/>
  <c r="A5" i="27"/>
  <c r="B5"/>
  <c r="A6"/>
  <c r="B6"/>
  <c r="A7"/>
  <c r="B7"/>
  <c r="A8"/>
  <c r="B8"/>
  <c r="A9"/>
  <c r="B9"/>
  <c r="B4"/>
  <c r="A4"/>
  <c r="N19" i="10"/>
  <c r="O19" s="1"/>
  <c r="N20"/>
  <c r="N21"/>
  <c r="O21" s="1"/>
  <c r="N22"/>
  <c r="N23"/>
  <c r="O23" s="1"/>
  <c r="N18"/>
  <c r="H19"/>
  <c r="I19" s="1"/>
  <c r="AC19" s="1"/>
  <c r="H20"/>
  <c r="H21"/>
  <c r="I21" s="1"/>
  <c r="AC21" s="1"/>
  <c r="H22"/>
  <c r="AC23"/>
  <c r="F19"/>
  <c r="F20"/>
  <c r="G20" s="1"/>
  <c r="E6" i="27" s="1"/>
  <c r="F21" i="10"/>
  <c r="F22"/>
  <c r="H18"/>
  <c r="F18"/>
  <c r="I20"/>
  <c r="AD20" s="1"/>
  <c r="I22"/>
  <c r="AD22" s="1"/>
  <c r="G19"/>
  <c r="G21"/>
  <c r="E7" i="27" s="1"/>
  <c r="E19" i="10"/>
  <c r="AA19" s="1"/>
  <c r="E20"/>
  <c r="AA20" s="1"/>
  <c r="E21"/>
  <c r="AA21" s="1"/>
  <c r="E22"/>
  <c r="AA22" s="1"/>
  <c r="G22"/>
  <c r="C19"/>
  <c r="C5" i="27" s="1"/>
  <c r="C20" i="10"/>
  <c r="C6" i="27" s="1"/>
  <c r="C21" i="10"/>
  <c r="C7" i="27" s="1"/>
  <c r="C22" i="10"/>
  <c r="C8" i="27" s="1"/>
  <c r="C23" i="10"/>
  <c r="C9" i="27" s="1"/>
  <c r="A10" i="23"/>
  <c r="B10"/>
  <c r="C10"/>
  <c r="I10"/>
  <c r="D10"/>
  <c r="E10"/>
  <c r="A9" i="26"/>
  <c r="B9"/>
  <c r="H9"/>
  <c r="D23" i="25"/>
  <c r="C9" i="26" s="1"/>
  <c r="F23" i="25"/>
  <c r="D9" i="26" s="1"/>
  <c r="H23" i="25"/>
  <c r="J23"/>
  <c r="F9" i="26" s="1"/>
  <c r="L23" i="25"/>
  <c r="G9" i="26" s="1"/>
  <c r="T23" i="25"/>
  <c r="V23"/>
  <c r="W23"/>
  <c r="X23"/>
  <c r="AA23"/>
  <c r="AC23"/>
  <c r="AD23"/>
  <c r="AE23"/>
  <c r="AU23"/>
  <c r="P9" i="26" s="1"/>
  <c r="X26" i="10" l="1"/>
  <c r="AB26"/>
  <c r="X24"/>
  <c r="AB24"/>
  <c r="AF27" i="21"/>
  <c r="L27"/>
  <c r="N27" s="1"/>
  <c r="O27" s="1"/>
  <c r="AB28"/>
  <c r="AC28" s="1"/>
  <c r="I28"/>
  <c r="AB27"/>
  <c r="AC27" s="1"/>
  <c r="Q25"/>
  <c r="Q20"/>
  <c r="Q19"/>
  <c r="Y24" i="10"/>
  <c r="AP24"/>
  <c r="AF24"/>
  <c r="Z24"/>
  <c r="Y26"/>
  <c r="AP26"/>
  <c r="AF26"/>
  <c r="Z26"/>
  <c r="Y28"/>
  <c r="AP28"/>
  <c r="AF28"/>
  <c r="Z28"/>
  <c r="Q28"/>
  <c r="V28" s="1"/>
  <c r="W28" s="1"/>
  <c r="R24"/>
  <c r="AD24"/>
  <c r="AH24"/>
  <c r="J25"/>
  <c r="Y25"/>
  <c r="AA25"/>
  <c r="AE25"/>
  <c r="AI25"/>
  <c r="R26"/>
  <c r="AD26"/>
  <c r="AH26"/>
  <c r="J27"/>
  <c r="Y27"/>
  <c r="AA27"/>
  <c r="AE27"/>
  <c r="AI27"/>
  <c r="R28"/>
  <c r="X28"/>
  <c r="AB28"/>
  <c r="AD28"/>
  <c r="AH28"/>
  <c r="J24"/>
  <c r="AA24"/>
  <c r="AC24"/>
  <c r="AE24"/>
  <c r="R25"/>
  <c r="X25"/>
  <c r="Z25"/>
  <c r="AD25"/>
  <c r="AF25"/>
  <c r="J26"/>
  <c r="AA26"/>
  <c r="AC26"/>
  <c r="AE26"/>
  <c r="R27"/>
  <c r="X27"/>
  <c r="Z27"/>
  <c r="AD27"/>
  <c r="AF27"/>
  <c r="J28"/>
  <c r="AA28"/>
  <c r="AC28"/>
  <c r="AE28"/>
  <c r="J22"/>
  <c r="S22" s="1"/>
  <c r="T22" s="1"/>
  <c r="U22" s="1"/>
  <c r="I8" i="27" s="1"/>
  <c r="D9"/>
  <c r="AI25" i="25"/>
  <c r="AF25"/>
  <c r="Z25"/>
  <c r="AI27"/>
  <c r="AF27"/>
  <c r="Z27"/>
  <c r="AH24"/>
  <c r="AG24"/>
  <c r="Q24"/>
  <c r="AH26"/>
  <c r="AG26"/>
  <c r="Q26"/>
  <c r="AH28"/>
  <c r="AG28"/>
  <c r="Q28"/>
  <c r="O24"/>
  <c r="Y24"/>
  <c r="AE24"/>
  <c r="AI24"/>
  <c r="M25"/>
  <c r="V25"/>
  <c r="AD25"/>
  <c r="AH25"/>
  <c r="O26"/>
  <c r="Y26"/>
  <c r="AE26"/>
  <c r="AI26"/>
  <c r="M27"/>
  <c r="V27"/>
  <c r="AD27"/>
  <c r="AH27"/>
  <c r="O28"/>
  <c r="Y28"/>
  <c r="AC28"/>
  <c r="AE28"/>
  <c r="AI28"/>
  <c r="AU28"/>
  <c r="M24"/>
  <c r="V24"/>
  <c r="AN24" s="1"/>
  <c r="AO24" s="1"/>
  <c r="Z24"/>
  <c r="O25"/>
  <c r="Q25"/>
  <c r="U25"/>
  <c r="AN25" s="1"/>
  <c r="AO25" s="1"/>
  <c r="Y25"/>
  <c r="AC25"/>
  <c r="M26"/>
  <c r="V26"/>
  <c r="AN26" s="1"/>
  <c r="AO26" s="1"/>
  <c r="Z26"/>
  <c r="O27"/>
  <c r="Q27"/>
  <c r="U27"/>
  <c r="AN27" s="1"/>
  <c r="AO27" s="1"/>
  <c r="Y27"/>
  <c r="AC27"/>
  <c r="M28"/>
  <c r="V28"/>
  <c r="AN28" s="1"/>
  <c r="AO28" s="1"/>
  <c r="Z28"/>
  <c r="Y23"/>
  <c r="H28" i="22"/>
  <c r="Q28"/>
  <c r="G29"/>
  <c r="AA29" s="1"/>
  <c r="R29"/>
  <c r="G28"/>
  <c r="AA28" s="1"/>
  <c r="H29"/>
  <c r="G27"/>
  <c r="AA27" s="1"/>
  <c r="R27"/>
  <c r="H27"/>
  <c r="K27" s="1"/>
  <c r="G26" i="7"/>
  <c r="AA26" s="1"/>
  <c r="R26"/>
  <c r="H27"/>
  <c r="K27"/>
  <c r="Q27"/>
  <c r="G28"/>
  <c r="AA28" s="1"/>
  <c r="R28"/>
  <c r="H26"/>
  <c r="G27"/>
  <c r="AA27" s="1"/>
  <c r="H28"/>
  <c r="K28"/>
  <c r="AD27" i="21"/>
  <c r="AE27" s="1"/>
  <c r="AB29"/>
  <c r="AC29" s="1"/>
  <c r="I29"/>
  <c r="H26"/>
  <c r="H23"/>
  <c r="I23" s="1"/>
  <c r="AH29" i="28"/>
  <c r="AI29"/>
  <c r="AE29"/>
  <c r="AQ28"/>
  <c r="K28"/>
  <c r="AO28" s="1"/>
  <c r="AG28"/>
  <c r="AH28"/>
  <c r="AE28"/>
  <c r="AI28"/>
  <c r="AD28"/>
  <c r="AQ27"/>
  <c r="AI27"/>
  <c r="AE27"/>
  <c r="S27"/>
  <c r="AH26"/>
  <c r="AD26"/>
  <c r="AI26"/>
  <c r="AE26"/>
  <c r="AQ26"/>
  <c r="Z26"/>
  <c r="AH25"/>
  <c r="AE25"/>
  <c r="AI25"/>
  <c r="AI24"/>
  <c r="AD24"/>
  <c r="AH24"/>
  <c r="AE24"/>
  <c r="S29"/>
  <c r="S25"/>
  <c r="AD29"/>
  <c r="AD27"/>
  <c r="AD25"/>
  <c r="AH27"/>
  <c r="AG26"/>
  <c r="K26"/>
  <c r="AO26" s="1"/>
  <c r="Z28"/>
  <c r="S28"/>
  <c r="S26"/>
  <c r="S24"/>
  <c r="T28"/>
  <c r="U28" s="1"/>
  <c r="V28" s="1"/>
  <c r="T26"/>
  <c r="U26" s="1"/>
  <c r="V26" s="1"/>
  <c r="S22"/>
  <c r="S23"/>
  <c r="R25"/>
  <c r="R24"/>
  <c r="Z29"/>
  <c r="AG29"/>
  <c r="K29"/>
  <c r="AA29"/>
  <c r="AJ29"/>
  <c r="AC29"/>
  <c r="AA28"/>
  <c r="AK28" s="1"/>
  <c r="AL28" s="1"/>
  <c r="Z27"/>
  <c r="AG27"/>
  <c r="K27"/>
  <c r="AA27"/>
  <c r="AJ27"/>
  <c r="AC27"/>
  <c r="AA26"/>
  <c r="AK26" s="1"/>
  <c r="AL26" s="1"/>
  <c r="Z25"/>
  <c r="AG25"/>
  <c r="K25"/>
  <c r="AA25"/>
  <c r="Z24"/>
  <c r="AG24"/>
  <c r="K24"/>
  <c r="AA24"/>
  <c r="AC24"/>
  <c r="R23"/>
  <c r="W23" s="1"/>
  <c r="X23" s="1"/>
  <c r="AB22"/>
  <c r="AJ22"/>
  <c r="AF22"/>
  <c r="AF21"/>
  <c r="AB21"/>
  <c r="AJ21"/>
  <c r="AB20"/>
  <c r="AJ20"/>
  <c r="AF20"/>
  <c r="AF19"/>
  <c r="AB19"/>
  <c r="AJ19"/>
  <c r="AB18"/>
  <c r="AJ18"/>
  <c r="R18"/>
  <c r="W18" s="1"/>
  <c r="X18" s="1"/>
  <c r="AF18"/>
  <c r="AQ18"/>
  <c r="AG18"/>
  <c r="AA18"/>
  <c r="Z18"/>
  <c r="K18"/>
  <c r="AI19"/>
  <c r="AE19"/>
  <c r="AH19"/>
  <c r="AD19"/>
  <c r="AQ20"/>
  <c r="AG20"/>
  <c r="AA20"/>
  <c r="Z20"/>
  <c r="K20"/>
  <c r="T20" s="1"/>
  <c r="U20" s="1"/>
  <c r="V20" s="1"/>
  <c r="AI21"/>
  <c r="AE21"/>
  <c r="AH21"/>
  <c r="AD21"/>
  <c r="AQ22"/>
  <c r="AG22"/>
  <c r="AA22"/>
  <c r="Z22"/>
  <c r="K22"/>
  <c r="T22" s="1"/>
  <c r="U22" s="1"/>
  <c r="V22" s="1"/>
  <c r="AI18"/>
  <c r="AE18"/>
  <c r="AH18"/>
  <c r="AD18"/>
  <c r="AQ19"/>
  <c r="AG19"/>
  <c r="AA19"/>
  <c r="Z19"/>
  <c r="K19"/>
  <c r="T19" s="1"/>
  <c r="U19" s="1"/>
  <c r="V19" s="1"/>
  <c r="AI20"/>
  <c r="AE20"/>
  <c r="AH20"/>
  <c r="AD20"/>
  <c r="AQ21"/>
  <c r="AG21"/>
  <c r="AA21"/>
  <c r="Z21"/>
  <c r="K21"/>
  <c r="T21" s="1"/>
  <c r="U21" s="1"/>
  <c r="V21" s="1"/>
  <c r="AI22"/>
  <c r="AE22"/>
  <c r="AH22"/>
  <c r="AD22"/>
  <c r="Z23"/>
  <c r="AQ23"/>
  <c r="AG23"/>
  <c r="AA23"/>
  <c r="Y23"/>
  <c r="AC23"/>
  <c r="AE23"/>
  <c r="AI23"/>
  <c r="S18"/>
  <c r="Y18"/>
  <c r="Y19"/>
  <c r="Y20"/>
  <c r="AK20" s="1"/>
  <c r="AL20" s="1"/>
  <c r="Y21"/>
  <c r="Y22"/>
  <c r="AK22" s="1"/>
  <c r="AL22" s="1"/>
  <c r="K23"/>
  <c r="T23" s="1"/>
  <c r="U23" s="1"/>
  <c r="V23" s="1"/>
  <c r="AB23"/>
  <c r="AD23"/>
  <c r="AF23"/>
  <c r="AP19" i="10"/>
  <c r="N5" i="27" s="1"/>
  <c r="D8"/>
  <c r="U23" i="25"/>
  <c r="Q10" i="23"/>
  <c r="Y26" i="21"/>
  <c r="Y23"/>
  <c r="Y21"/>
  <c r="Q24"/>
  <c r="H24"/>
  <c r="Y24" s="1"/>
  <c r="U23"/>
  <c r="K23"/>
  <c r="Q22"/>
  <c r="H22"/>
  <c r="Y22" s="1"/>
  <c r="U21"/>
  <c r="K21"/>
  <c r="H20"/>
  <c r="Y20" s="1"/>
  <c r="H19"/>
  <c r="L23"/>
  <c r="N23" s="1"/>
  <c r="O23" s="1"/>
  <c r="AF23"/>
  <c r="L21"/>
  <c r="N21" s="1"/>
  <c r="O21" s="1"/>
  <c r="AF21"/>
  <c r="I24"/>
  <c r="I22"/>
  <c r="I20"/>
  <c r="I19"/>
  <c r="H25"/>
  <c r="Y25" s="1"/>
  <c r="K26"/>
  <c r="AH26"/>
  <c r="Z26"/>
  <c r="X26"/>
  <c r="V26"/>
  <c r="R26"/>
  <c r="R25"/>
  <c r="AH24"/>
  <c r="Z24"/>
  <c r="X24"/>
  <c r="V24"/>
  <c r="R24"/>
  <c r="AH23"/>
  <c r="Z23"/>
  <c r="X23"/>
  <c r="V23"/>
  <c r="R23"/>
  <c r="AH22"/>
  <c r="Z22"/>
  <c r="X22"/>
  <c r="V22"/>
  <c r="R22"/>
  <c r="AH21"/>
  <c r="Z21"/>
  <c r="X21"/>
  <c r="V21"/>
  <c r="R21"/>
  <c r="AH20"/>
  <c r="Z20"/>
  <c r="X20"/>
  <c r="V20"/>
  <c r="R20"/>
  <c r="X19"/>
  <c r="V19"/>
  <c r="Q21" i="10"/>
  <c r="V21" s="1"/>
  <c r="W21" s="1"/>
  <c r="Q20"/>
  <c r="V20" s="1"/>
  <c r="W20" s="1"/>
  <c r="Q23" i="25"/>
  <c r="K9" i="26" s="1"/>
  <c r="Q23" i="10"/>
  <c r="V23" s="1"/>
  <c r="W23" s="1"/>
  <c r="Q19"/>
  <c r="V19" s="1"/>
  <c r="W19" s="1"/>
  <c r="F8" i="27"/>
  <c r="D6"/>
  <c r="F7"/>
  <c r="D5"/>
  <c r="F6"/>
  <c r="E5"/>
  <c r="H8"/>
  <c r="F10" i="23"/>
  <c r="G10"/>
  <c r="AG23" i="25"/>
  <c r="AB23"/>
  <c r="H10" i="23"/>
  <c r="J21" i="10"/>
  <c r="AN21" s="1"/>
  <c r="L7" i="27" s="1"/>
  <c r="E8"/>
  <c r="D7"/>
  <c r="F5"/>
  <c r="AP23" i="10"/>
  <c r="N9" i="27" s="1"/>
  <c r="AI23" i="10"/>
  <c r="AB23"/>
  <c r="X23"/>
  <c r="J23"/>
  <c r="AN23" s="1"/>
  <c r="L9" i="27" s="1"/>
  <c r="AE23" i="10"/>
  <c r="AI22"/>
  <c r="AB22"/>
  <c r="X22"/>
  <c r="AE22"/>
  <c r="AI21"/>
  <c r="AB21"/>
  <c r="X21"/>
  <c r="AE21"/>
  <c r="AI20"/>
  <c r="AB20"/>
  <c r="X20"/>
  <c r="J20"/>
  <c r="AN20" s="1"/>
  <c r="L6" i="27" s="1"/>
  <c r="AE20" i="10"/>
  <c r="AI19"/>
  <c r="AB19"/>
  <c r="X19"/>
  <c r="AE19"/>
  <c r="Q22"/>
  <c r="V22" s="1"/>
  <c r="W22" s="1"/>
  <c r="AG23"/>
  <c r="AD23"/>
  <c r="AH22"/>
  <c r="AC22"/>
  <c r="AG21"/>
  <c r="AD21"/>
  <c r="AH20"/>
  <c r="AC20"/>
  <c r="AG19"/>
  <c r="AD19"/>
  <c r="AH23"/>
  <c r="AG22"/>
  <c r="AH21"/>
  <c r="AG20"/>
  <c r="AH19"/>
  <c r="R20"/>
  <c r="G6" i="27" s="1"/>
  <c r="S23" i="10"/>
  <c r="T23" s="1"/>
  <c r="S21"/>
  <c r="T21" s="1"/>
  <c r="Y23"/>
  <c r="AF22"/>
  <c r="Z22"/>
  <c r="AF21"/>
  <c r="Z21"/>
  <c r="Y20"/>
  <c r="Y19"/>
  <c r="AP22"/>
  <c r="N8" i="27" s="1"/>
  <c r="AN22" i="10"/>
  <c r="L8" i="27" s="1"/>
  <c r="AP21" i="10"/>
  <c r="N7" i="27" s="1"/>
  <c r="R22" i="10"/>
  <c r="G8" i="27" s="1"/>
  <c r="R23" i="10"/>
  <c r="G9" i="27" s="1"/>
  <c r="R21" i="10"/>
  <c r="G7" i="27" s="1"/>
  <c r="R19" i="10"/>
  <c r="G5" i="27" s="1"/>
  <c r="AF23" i="10"/>
  <c r="Z23"/>
  <c r="Y22"/>
  <c r="Y21"/>
  <c r="AF20"/>
  <c r="Z20"/>
  <c r="AF19"/>
  <c r="Z19"/>
  <c r="AP20"/>
  <c r="N6" i="27" s="1"/>
  <c r="J19" i="10"/>
  <c r="AI23" i="25"/>
  <c r="Z23"/>
  <c r="E9" i="26"/>
  <c r="O10" i="23"/>
  <c r="J10"/>
  <c r="M23" i="25"/>
  <c r="AS23" s="1"/>
  <c r="N9" i="26" s="1"/>
  <c r="O23" i="25"/>
  <c r="I9" i="26" s="1"/>
  <c r="AH23" i="25"/>
  <c r="AF23"/>
  <c r="H4" i="26"/>
  <c r="H5"/>
  <c r="H6"/>
  <c r="H8"/>
  <c r="E7"/>
  <c r="H7"/>
  <c r="B4"/>
  <c r="B5"/>
  <c r="B6"/>
  <c r="B8"/>
  <c r="B7"/>
  <c r="A4"/>
  <c r="A5"/>
  <c r="A6"/>
  <c r="A8"/>
  <c r="A7"/>
  <c r="G7"/>
  <c r="D7"/>
  <c r="C7"/>
  <c r="AA22" i="25"/>
  <c r="X22"/>
  <c r="W22"/>
  <c r="T22"/>
  <c r="L22"/>
  <c r="AF22" s="1"/>
  <c r="J22"/>
  <c r="AE22" s="1"/>
  <c r="H22"/>
  <c r="AH22" s="1"/>
  <c r="F22"/>
  <c r="AD22" s="1"/>
  <c r="D22"/>
  <c r="C8" i="26" s="1"/>
  <c r="AA20" i="25"/>
  <c r="X20"/>
  <c r="W20"/>
  <c r="T20"/>
  <c r="L20"/>
  <c r="AF20" s="1"/>
  <c r="J20"/>
  <c r="AB20" s="1"/>
  <c r="H20"/>
  <c r="AH20" s="1"/>
  <c r="F20"/>
  <c r="AD20" s="1"/>
  <c r="D20"/>
  <c r="C6" i="26" s="1"/>
  <c r="AA19" i="25"/>
  <c r="X19"/>
  <c r="W19"/>
  <c r="T19"/>
  <c r="L19"/>
  <c r="AF19" s="1"/>
  <c r="J19"/>
  <c r="AB19" s="1"/>
  <c r="H19"/>
  <c r="Q19" s="1"/>
  <c r="K5" i="26" s="1"/>
  <c r="F19" i="25"/>
  <c r="AD19" s="1"/>
  <c r="D19"/>
  <c r="C5" i="26" s="1"/>
  <c r="AA18" i="25"/>
  <c r="X18"/>
  <c r="W18"/>
  <c r="T18"/>
  <c r="L18"/>
  <c r="J18"/>
  <c r="AE18" s="1"/>
  <c r="H18"/>
  <c r="AH18" s="1"/>
  <c r="F18"/>
  <c r="D4" i="26" s="1"/>
  <c r="D18" i="25"/>
  <c r="C4" i="26" s="1"/>
  <c r="AA21" i="25"/>
  <c r="X21"/>
  <c r="W21"/>
  <c r="T21"/>
  <c r="L21"/>
  <c r="AF21" s="1"/>
  <c r="J21"/>
  <c r="AB21" s="1"/>
  <c r="H21"/>
  <c r="AH21" s="1"/>
  <c r="F21"/>
  <c r="AD21" s="1"/>
  <c r="D21"/>
  <c r="I5" i="23"/>
  <c r="I6"/>
  <c r="I7"/>
  <c r="I8"/>
  <c r="I9"/>
  <c r="I4"/>
  <c r="A5"/>
  <c r="B5"/>
  <c r="C5"/>
  <c r="A6"/>
  <c r="B6"/>
  <c r="C6"/>
  <c r="A7"/>
  <c r="B7"/>
  <c r="C7"/>
  <c r="A8"/>
  <c r="B8"/>
  <c r="C8"/>
  <c r="A9"/>
  <c r="B9"/>
  <c r="C9"/>
  <c r="B4"/>
  <c r="C4"/>
  <c r="A4"/>
  <c r="H5"/>
  <c r="Q6"/>
  <c r="F6"/>
  <c r="Q7"/>
  <c r="G7"/>
  <c r="H7"/>
  <c r="Q8"/>
  <c r="F8"/>
  <c r="G8"/>
  <c r="H8"/>
  <c r="Q9"/>
  <c r="F9"/>
  <c r="H9"/>
  <c r="D5"/>
  <c r="D6"/>
  <c r="D7"/>
  <c r="D8"/>
  <c r="D9"/>
  <c r="H4"/>
  <c r="A23" i="8"/>
  <c r="B23"/>
  <c r="C23"/>
  <c r="G23"/>
  <c r="A24"/>
  <c r="B24"/>
  <c r="C24"/>
  <c r="G24"/>
  <c r="A25"/>
  <c r="B25"/>
  <c r="C25"/>
  <c r="G25"/>
  <c r="A26"/>
  <c r="B26"/>
  <c r="C26"/>
  <c r="G26"/>
  <c r="A27"/>
  <c r="B27"/>
  <c r="C27"/>
  <c r="G27"/>
  <c r="A28"/>
  <c r="B28"/>
  <c r="C28"/>
  <c r="G28"/>
  <c r="A29"/>
  <c r="B29"/>
  <c r="C29"/>
  <c r="G29"/>
  <c r="G22"/>
  <c r="B22"/>
  <c r="C22"/>
  <c r="A22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B13"/>
  <c r="C13"/>
  <c r="A13"/>
  <c r="G5"/>
  <c r="G6"/>
  <c r="G7"/>
  <c r="G8"/>
  <c r="G9"/>
  <c r="G10"/>
  <c r="G11"/>
  <c r="G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C4"/>
  <c r="B4"/>
  <c r="A4"/>
  <c r="W26" i="22"/>
  <c r="T26"/>
  <c r="S26"/>
  <c r="P26"/>
  <c r="M26"/>
  <c r="F26"/>
  <c r="D26"/>
  <c r="D29" i="8" s="1"/>
  <c r="W25" i="22"/>
  <c r="T25"/>
  <c r="S25"/>
  <c r="P25"/>
  <c r="M25"/>
  <c r="F25"/>
  <c r="D25"/>
  <c r="D28" i="8" s="1"/>
  <c r="W24" i="22"/>
  <c r="T24"/>
  <c r="S24"/>
  <c r="P24"/>
  <c r="M24"/>
  <c r="F24"/>
  <c r="D24"/>
  <c r="D27" i="8" s="1"/>
  <c r="W23" i="22"/>
  <c r="T23"/>
  <c r="S23"/>
  <c r="P23"/>
  <c r="M23"/>
  <c r="F23"/>
  <c r="D23"/>
  <c r="D26" i="8" s="1"/>
  <c r="W22" i="22"/>
  <c r="T22"/>
  <c r="S22"/>
  <c r="P22"/>
  <c r="M22"/>
  <c r="F22"/>
  <c r="D22"/>
  <c r="D25" i="8" s="1"/>
  <c r="W21" i="22"/>
  <c r="T21"/>
  <c r="S21"/>
  <c r="P21"/>
  <c r="M21"/>
  <c r="F21"/>
  <c r="D21"/>
  <c r="D24" i="8" s="1"/>
  <c r="W20" i="22"/>
  <c r="T20"/>
  <c r="S20"/>
  <c r="P20"/>
  <c r="M20"/>
  <c r="F20"/>
  <c r="D20"/>
  <c r="D23" i="8" s="1"/>
  <c r="W19" i="22"/>
  <c r="T19"/>
  <c r="S19"/>
  <c r="P19"/>
  <c r="M19"/>
  <c r="F19"/>
  <c r="D19"/>
  <c r="D22" i="8" s="1"/>
  <c r="D26" i="21"/>
  <c r="D20" i="8" s="1"/>
  <c r="D25" i="21"/>
  <c r="D19" i="8" s="1"/>
  <c r="D24" i="21"/>
  <c r="D18" i="8" s="1"/>
  <c r="D23" i="21"/>
  <c r="D17" i="8" s="1"/>
  <c r="D22" i="21"/>
  <c r="D16" i="8" s="1"/>
  <c r="D21" i="21"/>
  <c r="D15" i="8" s="1"/>
  <c r="D20" i="21"/>
  <c r="D14" i="8" s="1"/>
  <c r="D19" i="21"/>
  <c r="D13" i="8" s="1"/>
  <c r="F19" i="7"/>
  <c r="F20"/>
  <c r="F21"/>
  <c r="F22"/>
  <c r="F23"/>
  <c r="F24"/>
  <c r="F25"/>
  <c r="F18"/>
  <c r="W19"/>
  <c r="W20"/>
  <c r="W21"/>
  <c r="W22"/>
  <c r="W23"/>
  <c r="W24"/>
  <c r="W25"/>
  <c r="W18"/>
  <c r="T19"/>
  <c r="T20"/>
  <c r="T21"/>
  <c r="T22"/>
  <c r="T23"/>
  <c r="T24"/>
  <c r="T25"/>
  <c r="T18"/>
  <c r="R22"/>
  <c r="R24"/>
  <c r="R18"/>
  <c r="P19"/>
  <c r="P20"/>
  <c r="P21"/>
  <c r="P22"/>
  <c r="P23"/>
  <c r="P24"/>
  <c r="P25"/>
  <c r="P18"/>
  <c r="Q20"/>
  <c r="Q21"/>
  <c r="Q22"/>
  <c r="Q24"/>
  <c r="Q18"/>
  <c r="S19"/>
  <c r="S20"/>
  <c r="S21"/>
  <c r="S22"/>
  <c r="S23"/>
  <c r="S24"/>
  <c r="S25"/>
  <c r="S18"/>
  <c r="M19"/>
  <c r="M20"/>
  <c r="M21"/>
  <c r="M22"/>
  <c r="M23"/>
  <c r="M24"/>
  <c r="M25"/>
  <c r="M18"/>
  <c r="D19"/>
  <c r="D5" i="8" s="1"/>
  <c r="D20" i="7"/>
  <c r="D6" i="8" s="1"/>
  <c r="D21" i="7"/>
  <c r="D7" i="8" s="1"/>
  <c r="D22" i="7"/>
  <c r="D8" i="8" s="1"/>
  <c r="D23" i="7"/>
  <c r="D9" i="8" s="1"/>
  <c r="D24" i="7"/>
  <c r="D10" i="8" s="1"/>
  <c r="D25" i="7"/>
  <c r="D11" i="8" s="1"/>
  <c r="E18" i="10"/>
  <c r="D4" i="27" s="1"/>
  <c r="G18" i="10"/>
  <c r="E4" i="27" s="1"/>
  <c r="I18" i="10"/>
  <c r="F4" i="27" s="1"/>
  <c r="C18" i="10"/>
  <c r="C4" i="27" s="1"/>
  <c r="D4" i="23"/>
  <c r="D18" i="7"/>
  <c r="D4" i="8" s="1"/>
  <c r="L6" i="2"/>
  <c r="L7" s="1"/>
  <c r="AJ26" i="10" l="1"/>
  <c r="AK26" s="1"/>
  <c r="AJ24"/>
  <c r="AK24" s="1"/>
  <c r="L28" i="21"/>
  <c r="N28" s="1"/>
  <c r="O28" s="1"/>
  <c r="AD28" s="1"/>
  <c r="AE28" s="1"/>
  <c r="AF28"/>
  <c r="S28" i="10"/>
  <c r="T28" s="1"/>
  <c r="U28" s="1"/>
  <c r="AN28"/>
  <c r="S24"/>
  <c r="T24" s="1"/>
  <c r="U24" s="1"/>
  <c r="AL24" s="1"/>
  <c r="AM24" s="1"/>
  <c r="AN24"/>
  <c r="AN27"/>
  <c r="S27"/>
  <c r="T27" s="1"/>
  <c r="U27" s="1"/>
  <c r="AN25"/>
  <c r="S25"/>
  <c r="T25" s="1"/>
  <c r="U25" s="1"/>
  <c r="AJ27"/>
  <c r="AK27" s="1"/>
  <c r="AJ28"/>
  <c r="AK28" s="1"/>
  <c r="S26"/>
  <c r="T26" s="1"/>
  <c r="U26" s="1"/>
  <c r="AL26" s="1"/>
  <c r="AM26" s="1"/>
  <c r="AN26"/>
  <c r="AJ25"/>
  <c r="AK25" s="1"/>
  <c r="P28" i="25"/>
  <c r="R28" s="1"/>
  <c r="S28" s="1"/>
  <c r="AQ28" s="1"/>
  <c r="AR28" s="1"/>
  <c r="AS28"/>
  <c r="P26"/>
  <c r="R26" s="1"/>
  <c r="S26" s="1"/>
  <c r="AQ26" s="1"/>
  <c r="AR26" s="1"/>
  <c r="AS26"/>
  <c r="P24"/>
  <c r="R24" s="1"/>
  <c r="S24" s="1"/>
  <c r="AQ24" s="1"/>
  <c r="AR24" s="1"/>
  <c r="AS24"/>
  <c r="AS27"/>
  <c r="P27"/>
  <c r="R27" s="1"/>
  <c r="S27" s="1"/>
  <c r="AQ27" s="1"/>
  <c r="AR27" s="1"/>
  <c r="AS25"/>
  <c r="P25"/>
  <c r="R25" s="1"/>
  <c r="S25" s="1"/>
  <c r="AQ25" s="1"/>
  <c r="AR25" s="1"/>
  <c r="Y29" i="22"/>
  <c r="U29"/>
  <c r="AH29"/>
  <c r="Z29"/>
  <c r="X29"/>
  <c r="V29"/>
  <c r="I29"/>
  <c r="AH28"/>
  <c r="Z28"/>
  <c r="X28"/>
  <c r="V28"/>
  <c r="I28"/>
  <c r="Y28"/>
  <c r="U28"/>
  <c r="AB28" s="1"/>
  <c r="AC28" s="1"/>
  <c r="K29"/>
  <c r="K28"/>
  <c r="Y27"/>
  <c r="U27"/>
  <c r="AH27"/>
  <c r="Z27"/>
  <c r="X27"/>
  <c r="V27"/>
  <c r="I27"/>
  <c r="Y26" i="7"/>
  <c r="U26"/>
  <c r="AB26" s="1"/>
  <c r="AC26" s="1"/>
  <c r="AH26"/>
  <c r="Z26"/>
  <c r="X26"/>
  <c r="V26"/>
  <c r="I26"/>
  <c r="Y28"/>
  <c r="U28"/>
  <c r="AB28" s="1"/>
  <c r="AC28" s="1"/>
  <c r="AH28"/>
  <c r="Z28"/>
  <c r="X28"/>
  <c r="V28"/>
  <c r="I28"/>
  <c r="AH27"/>
  <c r="Z27"/>
  <c r="X27"/>
  <c r="V27"/>
  <c r="I27"/>
  <c r="Y27"/>
  <c r="U27"/>
  <c r="AB27" s="1"/>
  <c r="AC27" s="1"/>
  <c r="K26"/>
  <c r="L29" i="21"/>
  <c r="N29" s="1"/>
  <c r="O29" s="1"/>
  <c r="AD29" s="1"/>
  <c r="AE29" s="1"/>
  <c r="AF29"/>
  <c r="AG27"/>
  <c r="AI27" s="1"/>
  <c r="AJ27" s="1"/>
  <c r="AK27"/>
  <c r="AL27" s="1"/>
  <c r="AM27"/>
  <c r="AN27" s="1"/>
  <c r="AG28"/>
  <c r="AI28" s="1"/>
  <c r="AJ28" s="1"/>
  <c r="AK28"/>
  <c r="AL28" s="1"/>
  <c r="AM28"/>
  <c r="AN28" s="1"/>
  <c r="I26"/>
  <c r="U26"/>
  <c r="AB26" s="1"/>
  <c r="AC26" s="1"/>
  <c r="AK25" i="28"/>
  <c r="AL25" s="1"/>
  <c r="AK21"/>
  <c r="AL21" s="1"/>
  <c r="AK19"/>
  <c r="AL19" s="1"/>
  <c r="AK29"/>
  <c r="AL29" s="1"/>
  <c r="AM26"/>
  <c r="AN26" s="1"/>
  <c r="AT26" s="1"/>
  <c r="AU26" s="1"/>
  <c r="AK24"/>
  <c r="AL24" s="1"/>
  <c r="AK27"/>
  <c r="AL27" s="1"/>
  <c r="AM28"/>
  <c r="AN28" s="1"/>
  <c r="AK18"/>
  <c r="AL18" s="1"/>
  <c r="T27"/>
  <c r="U27" s="1"/>
  <c r="V27" s="1"/>
  <c r="AM27" s="1"/>
  <c r="AN27" s="1"/>
  <c r="AO27"/>
  <c r="AP26"/>
  <c r="AR26" s="1"/>
  <c r="AS26" s="1"/>
  <c r="AO24"/>
  <c r="T24"/>
  <c r="U24" s="1"/>
  <c r="V24" s="1"/>
  <c r="AM24" s="1"/>
  <c r="AN24" s="1"/>
  <c r="T25"/>
  <c r="U25" s="1"/>
  <c r="V25" s="1"/>
  <c r="AM25" s="1"/>
  <c r="AN25" s="1"/>
  <c r="AO25"/>
  <c r="T29"/>
  <c r="U29" s="1"/>
  <c r="V29" s="1"/>
  <c r="AM29" s="1"/>
  <c r="AN29" s="1"/>
  <c r="AO29"/>
  <c r="AT28"/>
  <c r="AU28" s="1"/>
  <c r="AP28"/>
  <c r="AR28" s="1"/>
  <c r="AS28" s="1"/>
  <c r="AV28"/>
  <c r="AW28" s="1"/>
  <c r="AO23"/>
  <c r="AO21"/>
  <c r="AM21"/>
  <c r="AN21" s="1"/>
  <c r="AO22"/>
  <c r="AM22"/>
  <c r="AN22" s="1"/>
  <c r="AO18"/>
  <c r="T18"/>
  <c r="U18" s="1"/>
  <c r="V18" s="1"/>
  <c r="AM18" s="1"/>
  <c r="AN18" s="1"/>
  <c r="AK23"/>
  <c r="AL23" s="1"/>
  <c r="AO19"/>
  <c r="AM19"/>
  <c r="AN19" s="1"/>
  <c r="AO20"/>
  <c r="AM20"/>
  <c r="AN20" s="1"/>
  <c r="AH19" i="25"/>
  <c r="G9" i="23"/>
  <c r="E8"/>
  <c r="Q19" i="22"/>
  <c r="H19"/>
  <c r="G19"/>
  <c r="Q20"/>
  <c r="H20"/>
  <c r="Y20" s="1"/>
  <c r="G20"/>
  <c r="R21"/>
  <c r="G21"/>
  <c r="H21"/>
  <c r="Y21" s="1"/>
  <c r="Q22"/>
  <c r="H22"/>
  <c r="Y22" s="1"/>
  <c r="G22"/>
  <c r="R23"/>
  <c r="G23"/>
  <c r="H23"/>
  <c r="Y23" s="1"/>
  <c r="Q24"/>
  <c r="H24"/>
  <c r="Y24" s="1"/>
  <c r="G24"/>
  <c r="R25"/>
  <c r="G25"/>
  <c r="H25"/>
  <c r="Y25" s="1"/>
  <c r="Q26"/>
  <c r="H26"/>
  <c r="Y26" s="1"/>
  <c r="G26"/>
  <c r="K20" i="21"/>
  <c r="U20"/>
  <c r="AB20" s="1"/>
  <c r="AC20" s="1"/>
  <c r="U19"/>
  <c r="Y19"/>
  <c r="AH19"/>
  <c r="K19"/>
  <c r="Z19"/>
  <c r="K22"/>
  <c r="U22"/>
  <c r="AB22" s="1"/>
  <c r="AC22" s="1"/>
  <c r="K24"/>
  <c r="U24"/>
  <c r="AB24" s="1"/>
  <c r="AC24" s="1"/>
  <c r="AB21"/>
  <c r="AC21" s="1"/>
  <c r="AB23"/>
  <c r="AC23" s="1"/>
  <c r="AD23" s="1"/>
  <c r="AE23" s="1"/>
  <c r="I25"/>
  <c r="V25"/>
  <c r="X25"/>
  <c r="Z25"/>
  <c r="AH25"/>
  <c r="K25"/>
  <c r="U25"/>
  <c r="AB25" s="1"/>
  <c r="AC25" s="1"/>
  <c r="AD21"/>
  <c r="AE21" s="1"/>
  <c r="L19"/>
  <c r="N19" s="1"/>
  <c r="O19" s="1"/>
  <c r="AF19"/>
  <c r="L20"/>
  <c r="N20" s="1"/>
  <c r="O20" s="1"/>
  <c r="AF20"/>
  <c r="L22"/>
  <c r="N22" s="1"/>
  <c r="O22" s="1"/>
  <c r="AF22"/>
  <c r="L24"/>
  <c r="N24" s="1"/>
  <c r="O24" s="1"/>
  <c r="AF24"/>
  <c r="H16" i="8"/>
  <c r="E11"/>
  <c r="H25" i="7"/>
  <c r="Y25" s="1"/>
  <c r="G25"/>
  <c r="Q23"/>
  <c r="H23"/>
  <c r="Y23" s="1"/>
  <c r="G23"/>
  <c r="E7" i="8"/>
  <c r="H21" i="7"/>
  <c r="Y21" s="1"/>
  <c r="G21"/>
  <c r="Q19"/>
  <c r="H19"/>
  <c r="Y19" s="1"/>
  <c r="G19"/>
  <c r="E4" i="8"/>
  <c r="H18" i="7"/>
  <c r="G18"/>
  <c r="AA18" s="1"/>
  <c r="H24"/>
  <c r="Y24" s="1"/>
  <c r="G24"/>
  <c r="AA24" s="1"/>
  <c r="E8" i="8"/>
  <c r="H22" i="7"/>
  <c r="Y22" s="1"/>
  <c r="G22"/>
  <c r="AA22" s="1"/>
  <c r="R20"/>
  <c r="H20"/>
  <c r="Y20" s="1"/>
  <c r="G20"/>
  <c r="AA20" s="1"/>
  <c r="V18"/>
  <c r="V21"/>
  <c r="V24"/>
  <c r="V20"/>
  <c r="F8" i="8"/>
  <c r="Z18" i="25"/>
  <c r="Z21"/>
  <c r="AE21"/>
  <c r="AI21"/>
  <c r="Y18"/>
  <c r="AB18"/>
  <c r="E4" i="26"/>
  <c r="Y21" i="25"/>
  <c r="AG18"/>
  <c r="Z22"/>
  <c r="Q22"/>
  <c r="K8" i="26" s="1"/>
  <c r="Y22" i="25"/>
  <c r="AB22"/>
  <c r="F8" i="26"/>
  <c r="G6"/>
  <c r="D5"/>
  <c r="F4"/>
  <c r="AN23" i="25"/>
  <c r="AO23" s="1"/>
  <c r="L9" i="26" s="1"/>
  <c r="L10" i="23"/>
  <c r="K10"/>
  <c r="F9" i="8"/>
  <c r="E6"/>
  <c r="E16"/>
  <c r="G6" i="23"/>
  <c r="M18" i="25"/>
  <c r="P18" s="1"/>
  <c r="U18"/>
  <c r="AU18"/>
  <c r="P4" i="26" s="1"/>
  <c r="F6" i="8"/>
  <c r="E7" i="23"/>
  <c r="H6"/>
  <c r="G5"/>
  <c r="Q21" i="25"/>
  <c r="AF18"/>
  <c r="AG19"/>
  <c r="Q20"/>
  <c r="K6" i="26" s="1"/>
  <c r="K7"/>
  <c r="F7"/>
  <c r="G8"/>
  <c r="D6"/>
  <c r="E5"/>
  <c r="U21" i="10"/>
  <c r="I7" i="27" s="1"/>
  <c r="H7"/>
  <c r="E9" i="8"/>
  <c r="E5"/>
  <c r="E10"/>
  <c r="F5"/>
  <c r="E18"/>
  <c r="E14"/>
  <c r="F5" i="23"/>
  <c r="AC18" i="25"/>
  <c r="AG20"/>
  <c r="E13" i="8"/>
  <c r="E19"/>
  <c r="E17"/>
  <c r="E15"/>
  <c r="G4" i="23"/>
  <c r="F7"/>
  <c r="E6"/>
  <c r="Q18" i="25"/>
  <c r="K4" i="26" s="1"/>
  <c r="AI18" i="25"/>
  <c r="AI22"/>
  <c r="I7" i="26"/>
  <c r="D8"/>
  <c r="E6"/>
  <c r="F5"/>
  <c r="G4"/>
  <c r="P23" i="25"/>
  <c r="R23" s="1"/>
  <c r="S23" s="1"/>
  <c r="AQ23" s="1"/>
  <c r="AR23" s="1"/>
  <c r="E4" i="23"/>
  <c r="E9"/>
  <c r="E5"/>
  <c r="O18" i="25"/>
  <c r="I4" i="26" s="1"/>
  <c r="V18" i="25"/>
  <c r="AD18"/>
  <c r="P7" i="26"/>
  <c r="E8"/>
  <c r="F6"/>
  <c r="G5"/>
  <c r="M10" i="23"/>
  <c r="S20" i="10"/>
  <c r="T20" s="1"/>
  <c r="U23"/>
  <c r="I9" i="27" s="1"/>
  <c r="H9"/>
  <c r="E20" i="8"/>
  <c r="E29"/>
  <c r="E27"/>
  <c r="E25"/>
  <c r="E23"/>
  <c r="E22"/>
  <c r="E28"/>
  <c r="E26"/>
  <c r="E24"/>
  <c r="AJ22" i="10"/>
  <c r="AK22" s="1"/>
  <c r="AJ21"/>
  <c r="AK21" s="1"/>
  <c r="AN19"/>
  <c r="L5" i="27" s="1"/>
  <c r="S19" i="10"/>
  <c r="T19" s="1"/>
  <c r="AJ19"/>
  <c r="AK19" s="1"/>
  <c r="J5" i="27" s="1"/>
  <c r="AJ23" i="10"/>
  <c r="AK23" s="1"/>
  <c r="AJ20"/>
  <c r="AK20" s="1"/>
  <c r="AH18"/>
  <c r="AC18"/>
  <c r="AG18"/>
  <c r="AD18"/>
  <c r="AB18"/>
  <c r="X18"/>
  <c r="AI18"/>
  <c r="AE18"/>
  <c r="AA18"/>
  <c r="AF18"/>
  <c r="Y18"/>
  <c r="Z18"/>
  <c r="Q18"/>
  <c r="V18" s="1"/>
  <c r="M22" i="25"/>
  <c r="AS22" s="1"/>
  <c r="N8" i="26" s="1"/>
  <c r="U22" i="25"/>
  <c r="AC22"/>
  <c r="AU22"/>
  <c r="P8" i="26" s="1"/>
  <c r="O22" i="25"/>
  <c r="I8" i="26" s="1"/>
  <c r="V22" i="25"/>
  <c r="M21"/>
  <c r="AS21" s="1"/>
  <c r="U21"/>
  <c r="AC21"/>
  <c r="AU21"/>
  <c r="O21"/>
  <c r="V21"/>
  <c r="AG22"/>
  <c r="AN22" s="1"/>
  <c r="AO22" s="1"/>
  <c r="L8" i="26" s="1"/>
  <c r="M20" i="25"/>
  <c r="P20" s="1"/>
  <c r="U20"/>
  <c r="Y20"/>
  <c r="AC20"/>
  <c r="AE20"/>
  <c r="AI20"/>
  <c r="AU20"/>
  <c r="P6" i="26" s="1"/>
  <c r="O20" i="25"/>
  <c r="I6" i="26" s="1"/>
  <c r="V20" i="25"/>
  <c r="Z20"/>
  <c r="M19"/>
  <c r="AS19" s="1"/>
  <c r="N5" i="26" s="1"/>
  <c r="U19" i="25"/>
  <c r="Y19"/>
  <c r="AC19"/>
  <c r="AE19"/>
  <c r="AI19"/>
  <c r="AU19"/>
  <c r="P5" i="26" s="1"/>
  <c r="O19" i="25"/>
  <c r="I5" i="26" s="1"/>
  <c r="V19" i="25"/>
  <c r="Z19"/>
  <c r="AG21"/>
  <c r="AS18"/>
  <c r="P19"/>
  <c r="R19" s="1"/>
  <c r="N7" i="26"/>
  <c r="F4" i="23"/>
  <c r="J9"/>
  <c r="J7"/>
  <c r="Q4"/>
  <c r="Q5"/>
  <c r="O5"/>
  <c r="O8"/>
  <c r="O6"/>
  <c r="J8"/>
  <c r="J6"/>
  <c r="J5"/>
  <c r="O9"/>
  <c r="J4"/>
  <c r="O4"/>
  <c r="R19" i="22"/>
  <c r="R20"/>
  <c r="AA21"/>
  <c r="Q21"/>
  <c r="R22"/>
  <c r="AA23"/>
  <c r="Q23"/>
  <c r="R24"/>
  <c r="AA25"/>
  <c r="Q25"/>
  <c r="R26"/>
  <c r="AA19"/>
  <c r="AA20"/>
  <c r="AA22"/>
  <c r="AA24"/>
  <c r="AA26"/>
  <c r="V20"/>
  <c r="Z20"/>
  <c r="V22"/>
  <c r="Z22"/>
  <c r="V24"/>
  <c r="Z24"/>
  <c r="V26"/>
  <c r="Z26"/>
  <c r="H18" i="8"/>
  <c r="H20"/>
  <c r="Z21" i="7"/>
  <c r="AA23"/>
  <c r="AA21"/>
  <c r="AA19"/>
  <c r="R25"/>
  <c r="R23"/>
  <c r="R21"/>
  <c r="R19"/>
  <c r="U22"/>
  <c r="Z24"/>
  <c r="Z20"/>
  <c r="U21"/>
  <c r="Z19"/>
  <c r="Y18"/>
  <c r="AA25"/>
  <c r="Q25"/>
  <c r="W18" i="10"/>
  <c r="AP18"/>
  <c r="N4" i="27" s="1"/>
  <c r="R18" i="10"/>
  <c r="G4" i="27" s="1"/>
  <c r="J18" i="10"/>
  <c r="AN18" s="1"/>
  <c r="L4" i="27" s="1"/>
  <c r="K20" i="22" l="1"/>
  <c r="H23" i="8" s="1"/>
  <c r="AB27" i="22"/>
  <c r="AC27" s="1"/>
  <c r="AB29"/>
  <c r="AC29" s="1"/>
  <c r="AU26" i="10"/>
  <c r="AV26" s="1"/>
  <c r="AS26"/>
  <c r="AT26" s="1"/>
  <c r="AO26"/>
  <c r="AQ26" s="1"/>
  <c r="AR26" s="1"/>
  <c r="AU24"/>
  <c r="AV24" s="1"/>
  <c r="AS24"/>
  <c r="AT24" s="1"/>
  <c r="AO24"/>
  <c r="AQ24" s="1"/>
  <c r="AR24" s="1"/>
  <c r="AL28"/>
  <c r="AM28" s="1"/>
  <c r="AL25"/>
  <c r="AM25" s="1"/>
  <c r="AL27"/>
  <c r="AM27" s="1"/>
  <c r="AZ24" i="25"/>
  <c r="BA24" s="1"/>
  <c r="AX24"/>
  <c r="AY24" s="1"/>
  <c r="AT24"/>
  <c r="AV24" s="1"/>
  <c r="AW24" s="1"/>
  <c r="AZ26"/>
  <c r="BA26" s="1"/>
  <c r="AX26"/>
  <c r="AY26" s="1"/>
  <c r="AT26"/>
  <c r="AV26" s="1"/>
  <c r="AW26" s="1"/>
  <c r="AZ28"/>
  <c r="BA28" s="1"/>
  <c r="AX28"/>
  <c r="AY28" s="1"/>
  <c r="AT28"/>
  <c r="AV28" s="1"/>
  <c r="AW28" s="1"/>
  <c r="AZ25"/>
  <c r="BA25" s="1"/>
  <c r="AX25"/>
  <c r="AY25" s="1"/>
  <c r="AT25"/>
  <c r="AV25" s="1"/>
  <c r="AW25" s="1"/>
  <c r="AZ27"/>
  <c r="BA27" s="1"/>
  <c r="AX27"/>
  <c r="AY27" s="1"/>
  <c r="AT27"/>
  <c r="AV27" s="1"/>
  <c r="AW27" s="1"/>
  <c r="AF29" i="22"/>
  <c r="L29"/>
  <c r="N29" s="1"/>
  <c r="O29" s="1"/>
  <c r="AD29" s="1"/>
  <c r="AE29" s="1"/>
  <c r="AF28"/>
  <c r="L28"/>
  <c r="N28" s="1"/>
  <c r="O28" s="1"/>
  <c r="AD28" s="1"/>
  <c r="AE28" s="1"/>
  <c r="AF27"/>
  <c r="L27"/>
  <c r="N27" s="1"/>
  <c r="O27" s="1"/>
  <c r="AD27" s="1"/>
  <c r="AE27" s="1"/>
  <c r="K24"/>
  <c r="H27" i="8" s="1"/>
  <c r="AF28" i="7"/>
  <c r="L28"/>
  <c r="N28" s="1"/>
  <c r="O28" s="1"/>
  <c r="AD28" s="1"/>
  <c r="AE28" s="1"/>
  <c r="AF27"/>
  <c r="L27"/>
  <c r="N27" s="1"/>
  <c r="O27" s="1"/>
  <c r="AD27" s="1"/>
  <c r="AE27" s="1"/>
  <c r="AF26"/>
  <c r="L26"/>
  <c r="N26" s="1"/>
  <c r="O26" s="1"/>
  <c r="AD26" s="1"/>
  <c r="AE26" s="1"/>
  <c r="AG29" i="21"/>
  <c r="AI29" s="1"/>
  <c r="AJ29" s="1"/>
  <c r="AK29"/>
  <c r="AL29" s="1"/>
  <c r="AM29"/>
  <c r="AN29" s="1"/>
  <c r="L26"/>
  <c r="N26" s="1"/>
  <c r="O26" s="1"/>
  <c r="AD26" s="1"/>
  <c r="AE26" s="1"/>
  <c r="AF26"/>
  <c r="AV26" i="28"/>
  <c r="AW26" s="1"/>
  <c r="AT24"/>
  <c r="AU24" s="1"/>
  <c r="AP24"/>
  <c r="AR24" s="1"/>
  <c r="AS24" s="1"/>
  <c r="AV24"/>
  <c r="AW24" s="1"/>
  <c r="AP27"/>
  <c r="AR27" s="1"/>
  <c r="AS27" s="1"/>
  <c r="AV27"/>
  <c r="AW27" s="1"/>
  <c r="AT27"/>
  <c r="AU27" s="1"/>
  <c r="AP29"/>
  <c r="AR29" s="1"/>
  <c r="AS29" s="1"/>
  <c r="AV29"/>
  <c r="AW29" s="1"/>
  <c r="AT29"/>
  <c r="AU29" s="1"/>
  <c r="AP25"/>
  <c r="AR25" s="1"/>
  <c r="AS25" s="1"/>
  <c r="AV25"/>
  <c r="AW25" s="1"/>
  <c r="AT25"/>
  <c r="AU25" s="1"/>
  <c r="AV20"/>
  <c r="AW20" s="1"/>
  <c r="AT20"/>
  <c r="AU20" s="1"/>
  <c r="AP20"/>
  <c r="AR20" s="1"/>
  <c r="AS20" s="1"/>
  <c r="AV19"/>
  <c r="AW19" s="1"/>
  <c r="AT19"/>
  <c r="AU19" s="1"/>
  <c r="AP19"/>
  <c r="AR19" s="1"/>
  <c r="AS19" s="1"/>
  <c r="AM23"/>
  <c r="AN23" s="1"/>
  <c r="AV18"/>
  <c r="AW18" s="1"/>
  <c r="AT18"/>
  <c r="AU18" s="1"/>
  <c r="AP18"/>
  <c r="AR18" s="1"/>
  <c r="AS18" s="1"/>
  <c r="AV22"/>
  <c r="AW22" s="1"/>
  <c r="AT22"/>
  <c r="AU22" s="1"/>
  <c r="AP22"/>
  <c r="AR22" s="1"/>
  <c r="AS22" s="1"/>
  <c r="AV21"/>
  <c r="AW21" s="1"/>
  <c r="AT21"/>
  <c r="AU21" s="1"/>
  <c r="AP21"/>
  <c r="AR21" s="1"/>
  <c r="AS21" s="1"/>
  <c r="M9" i="26"/>
  <c r="AZ23" i="25"/>
  <c r="AS20"/>
  <c r="N6" i="26" s="1"/>
  <c r="M6" i="23"/>
  <c r="M4"/>
  <c r="K26" i="22"/>
  <c r="H29" i="8" s="1"/>
  <c r="K22" i="22"/>
  <c r="H25" i="8" s="1"/>
  <c r="AH25" i="22"/>
  <c r="X25"/>
  <c r="I25"/>
  <c r="AH23"/>
  <c r="X23"/>
  <c r="I23"/>
  <c r="AF23" s="1"/>
  <c r="N26" i="8" s="1"/>
  <c r="AH21" i="22"/>
  <c r="X21"/>
  <c r="I21"/>
  <c r="AH19"/>
  <c r="X19"/>
  <c r="I19"/>
  <c r="L19" s="1"/>
  <c r="N19" s="1"/>
  <c r="X26"/>
  <c r="I26"/>
  <c r="AF26" s="1"/>
  <c r="N29" i="8" s="1"/>
  <c r="AH26" i="22"/>
  <c r="X24"/>
  <c r="I24"/>
  <c r="AH24"/>
  <c r="X22"/>
  <c r="I22"/>
  <c r="AH22"/>
  <c r="X20"/>
  <c r="I20"/>
  <c r="AH20"/>
  <c r="K25"/>
  <c r="K23"/>
  <c r="H26" i="8" s="1"/>
  <c r="K21" i="22"/>
  <c r="K19"/>
  <c r="H22" i="8" s="1"/>
  <c r="AD20" i="21"/>
  <c r="AE20" s="1"/>
  <c r="AB19"/>
  <c r="AC19" s="1"/>
  <c r="AD24"/>
  <c r="AE24" s="1"/>
  <c r="AG24" s="1"/>
  <c r="AI24" s="1"/>
  <c r="AJ24" s="1"/>
  <c r="AD22"/>
  <c r="AE22" s="1"/>
  <c r="AG22" s="1"/>
  <c r="AI22" s="1"/>
  <c r="AJ22" s="1"/>
  <c r="AD19"/>
  <c r="AE19" s="1"/>
  <c r="AG20"/>
  <c r="AI20" s="1"/>
  <c r="AJ20" s="1"/>
  <c r="AK20"/>
  <c r="AL20" s="1"/>
  <c r="AG19"/>
  <c r="AI19" s="1"/>
  <c r="AJ19" s="1"/>
  <c r="AK19"/>
  <c r="AL19" s="1"/>
  <c r="AG23"/>
  <c r="AI23" s="1"/>
  <c r="AJ23" s="1"/>
  <c r="AK23"/>
  <c r="AL23" s="1"/>
  <c r="L25"/>
  <c r="N25" s="1"/>
  <c r="O25" s="1"/>
  <c r="AD25" s="1"/>
  <c r="AE25" s="1"/>
  <c r="AF25"/>
  <c r="AG26"/>
  <c r="AI26" s="1"/>
  <c r="AJ26" s="1"/>
  <c r="AK26"/>
  <c r="AL26" s="1"/>
  <c r="AG21"/>
  <c r="AI21" s="1"/>
  <c r="AJ21" s="1"/>
  <c r="AK21"/>
  <c r="AL21" s="1"/>
  <c r="H14" i="8"/>
  <c r="H13"/>
  <c r="X20" i="7"/>
  <c r="AH20"/>
  <c r="O6" i="8" s="1"/>
  <c r="I20" i="7"/>
  <c r="X22"/>
  <c r="AH22"/>
  <c r="O8" i="8" s="1"/>
  <c r="I22" i="7"/>
  <c r="X24"/>
  <c r="AH24"/>
  <c r="O10" i="8" s="1"/>
  <c r="I24" i="7"/>
  <c r="X18"/>
  <c r="AH18"/>
  <c r="O4" i="8" s="1"/>
  <c r="I18" i="7"/>
  <c r="I19"/>
  <c r="X19"/>
  <c r="AH19"/>
  <c r="O5" i="8" s="1"/>
  <c r="I21" i="7"/>
  <c r="X21"/>
  <c r="AB21" s="1"/>
  <c r="AC21" s="1"/>
  <c r="K7" i="8" s="1"/>
  <c r="AH21" i="7"/>
  <c r="O7" i="8" s="1"/>
  <c r="I23" i="7"/>
  <c r="X23"/>
  <c r="AH23"/>
  <c r="O9" i="8" s="1"/>
  <c r="I25" i="7"/>
  <c r="X25"/>
  <c r="AH25"/>
  <c r="Z18"/>
  <c r="U18"/>
  <c r="U19"/>
  <c r="U23"/>
  <c r="Z22"/>
  <c r="U20"/>
  <c r="AB20" s="1"/>
  <c r="AC20" s="1"/>
  <c r="K6" i="8" s="1"/>
  <c r="U24" i="7"/>
  <c r="AB24" s="1"/>
  <c r="Z23"/>
  <c r="F7" i="8"/>
  <c r="F10"/>
  <c r="F4"/>
  <c r="V22" i="7"/>
  <c r="AB22" s="1"/>
  <c r="AC22" s="1"/>
  <c r="K8" i="8" s="1"/>
  <c r="V19" i="7"/>
  <c r="V23"/>
  <c r="K20"/>
  <c r="H6" i="8" s="1"/>
  <c r="K22" i="7"/>
  <c r="H8" i="8" s="1"/>
  <c r="K24" i="7"/>
  <c r="H10" i="8" s="1"/>
  <c r="K18" i="7"/>
  <c r="H4" i="8" s="1"/>
  <c r="K19" i="7"/>
  <c r="H5" i="8" s="1"/>
  <c r="K21" i="7"/>
  <c r="H7" i="8" s="1"/>
  <c r="K23" i="7"/>
  <c r="H9" i="8" s="1"/>
  <c r="K25" i="7"/>
  <c r="F11" i="8"/>
  <c r="J9" i="26"/>
  <c r="AN21" i="25"/>
  <c r="AO21" s="1"/>
  <c r="R18"/>
  <c r="L6" i="23"/>
  <c r="K6"/>
  <c r="AL21" i="10"/>
  <c r="AM21" s="1"/>
  <c r="J7" i="27"/>
  <c r="U20" i="10"/>
  <c r="I6" i="27" s="1"/>
  <c r="H6"/>
  <c r="J7" i="26"/>
  <c r="H17" i="8"/>
  <c r="P22" i="25"/>
  <c r="R22" s="1"/>
  <c r="P21"/>
  <c r="R21" s="1"/>
  <c r="S21" s="1"/>
  <c r="AN20"/>
  <c r="AO20" s="1"/>
  <c r="L6" i="26" s="1"/>
  <c r="R20" i="25"/>
  <c r="L7" i="26"/>
  <c r="N4"/>
  <c r="U19" i="10"/>
  <c r="I5" i="27" s="1"/>
  <c r="H5"/>
  <c r="S18" i="25"/>
  <c r="J4" i="26"/>
  <c r="H11" i="8"/>
  <c r="L5" i="23"/>
  <c r="K5"/>
  <c r="L8"/>
  <c r="K8"/>
  <c r="S19" i="25"/>
  <c r="J5" i="26"/>
  <c r="J6" i="27"/>
  <c r="AL22" i="10"/>
  <c r="AM22" s="1"/>
  <c r="AU22" s="1"/>
  <c r="J8" i="27"/>
  <c r="H19" i="8"/>
  <c r="H15"/>
  <c r="AN18" i="25"/>
  <c r="AO18" s="1"/>
  <c r="L4" i="26" s="1"/>
  <c r="AL23" i="10"/>
  <c r="AM23" s="1"/>
  <c r="J9" i="27"/>
  <c r="U25" i="22"/>
  <c r="F28" i="8"/>
  <c r="U23" i="22"/>
  <c r="F26" i="8"/>
  <c r="U21" i="22"/>
  <c r="F24" i="8"/>
  <c r="U26" i="22"/>
  <c r="AB26" s="1"/>
  <c r="F29" i="8"/>
  <c r="U24" i="22"/>
  <c r="F27" i="8"/>
  <c r="U22" i="22"/>
  <c r="AB22" s="1"/>
  <c r="F25" i="8"/>
  <c r="U20" i="22"/>
  <c r="F23" i="8"/>
  <c r="Y19" i="22"/>
  <c r="F22" i="8"/>
  <c r="F20"/>
  <c r="F18"/>
  <c r="F16"/>
  <c r="F14"/>
  <c r="F19"/>
  <c r="F17"/>
  <c r="F15"/>
  <c r="F13"/>
  <c r="AO21" i="10"/>
  <c r="AJ18"/>
  <c r="AK18" s="1"/>
  <c r="J4" i="27" s="1"/>
  <c r="AT23" i="25"/>
  <c r="AX23"/>
  <c r="BA23"/>
  <c r="AN19"/>
  <c r="AO19" s="1"/>
  <c r="M9" i="23"/>
  <c r="M7"/>
  <c r="O7"/>
  <c r="L25" i="22"/>
  <c r="N25" s="1"/>
  <c r="L21"/>
  <c r="N21" s="1"/>
  <c r="H28" i="8"/>
  <c r="H24"/>
  <c r="U19" i="22"/>
  <c r="L26"/>
  <c r="N26" s="1"/>
  <c r="Z25"/>
  <c r="V25"/>
  <c r="L24"/>
  <c r="N24" s="1"/>
  <c r="Z23"/>
  <c r="V23"/>
  <c r="AF22"/>
  <c r="N25" i="8" s="1"/>
  <c r="Z21" i="22"/>
  <c r="V21"/>
  <c r="AF20"/>
  <c r="N23" i="8" s="1"/>
  <c r="Z19" i="22"/>
  <c r="V19"/>
  <c r="AF25"/>
  <c r="N28" i="8" s="1"/>
  <c r="L23" i="22"/>
  <c r="N23" s="1"/>
  <c r="AF21"/>
  <c r="N24" i="8" s="1"/>
  <c r="AF24" i="22"/>
  <c r="N27" i="8" s="1"/>
  <c r="L20" i="22"/>
  <c r="N20" s="1"/>
  <c r="N19" i="8"/>
  <c r="N17"/>
  <c r="N15"/>
  <c r="N13"/>
  <c r="N20"/>
  <c r="N18"/>
  <c r="N16"/>
  <c r="N14"/>
  <c r="V25" i="7"/>
  <c r="AF23"/>
  <c r="M9" i="8" s="1"/>
  <c r="AC24" i="7"/>
  <c r="K10" i="8" s="1"/>
  <c r="L23" i="7"/>
  <c r="N23" s="1"/>
  <c r="AF20"/>
  <c r="M6" i="8" s="1"/>
  <c r="L20" i="7"/>
  <c r="N20" s="1"/>
  <c r="AF24"/>
  <c r="M10" i="8" s="1"/>
  <c r="L24" i="7"/>
  <c r="N24" s="1"/>
  <c r="AF22"/>
  <c r="M8" i="8" s="1"/>
  <c r="L22" i="7"/>
  <c r="N22" s="1"/>
  <c r="AF18"/>
  <c r="M4" i="8" s="1"/>
  <c r="L18" i="7"/>
  <c r="N18" s="1"/>
  <c r="I4" i="8" s="1"/>
  <c r="U25" i="7"/>
  <c r="AB25" s="1"/>
  <c r="O11" i="8"/>
  <c r="Z25" i="7"/>
  <c r="S18" i="10"/>
  <c r="K4" i="23"/>
  <c r="AF19" i="22" l="1"/>
  <c r="N22" i="8" s="1"/>
  <c r="AU27" i="10"/>
  <c r="AV27" s="1"/>
  <c r="AS27"/>
  <c r="AT27" s="1"/>
  <c r="AO27"/>
  <c r="AQ27" s="1"/>
  <c r="AR27" s="1"/>
  <c r="AU28"/>
  <c r="AV28" s="1"/>
  <c r="AS28"/>
  <c r="AT28" s="1"/>
  <c r="AO28"/>
  <c r="AQ28" s="1"/>
  <c r="AR28" s="1"/>
  <c r="AU25"/>
  <c r="AV25" s="1"/>
  <c r="AS25"/>
  <c r="AT25" s="1"/>
  <c r="AO25"/>
  <c r="AQ25" s="1"/>
  <c r="AR25" s="1"/>
  <c r="AU21"/>
  <c r="AV21" s="1"/>
  <c r="AM28" i="22"/>
  <c r="AN28" s="1"/>
  <c r="AK28"/>
  <c r="AL28" s="1"/>
  <c r="AG28"/>
  <c r="AI28" s="1"/>
  <c r="AJ28" s="1"/>
  <c r="AM29"/>
  <c r="AN29" s="1"/>
  <c r="AK29"/>
  <c r="AL29" s="1"/>
  <c r="AG29"/>
  <c r="AI29" s="1"/>
  <c r="AJ29" s="1"/>
  <c r="AM27"/>
  <c r="AN27" s="1"/>
  <c r="AK27"/>
  <c r="AL27" s="1"/>
  <c r="AG27"/>
  <c r="AI27" s="1"/>
  <c r="AJ27" s="1"/>
  <c r="AM26" i="7"/>
  <c r="AN26" s="1"/>
  <c r="AK26"/>
  <c r="AL26" s="1"/>
  <c r="AG26"/>
  <c r="AI26" s="1"/>
  <c r="AJ26" s="1"/>
  <c r="AM27"/>
  <c r="AN27" s="1"/>
  <c r="AK27"/>
  <c r="AL27" s="1"/>
  <c r="AG27"/>
  <c r="AI27" s="1"/>
  <c r="AJ27" s="1"/>
  <c r="AM28"/>
  <c r="AN28" s="1"/>
  <c r="AK28"/>
  <c r="AL28" s="1"/>
  <c r="AG28"/>
  <c r="AI28" s="1"/>
  <c r="AJ28" s="1"/>
  <c r="AK24" i="21"/>
  <c r="AL24" s="1"/>
  <c r="AK22"/>
  <c r="AL22" s="1"/>
  <c r="AV23" i="28"/>
  <c r="AW23" s="1"/>
  <c r="AT23"/>
  <c r="AU23" s="1"/>
  <c r="AP23"/>
  <c r="AR23" s="1"/>
  <c r="AS23" s="1"/>
  <c r="K9" i="27"/>
  <c r="AU23" i="10"/>
  <c r="AL20"/>
  <c r="AM20" s="1"/>
  <c r="AU20" s="1"/>
  <c r="AQ21" i="25"/>
  <c r="AR21" s="1"/>
  <c r="N10" i="23"/>
  <c r="N6"/>
  <c r="AB19" i="22"/>
  <c r="AB20"/>
  <c r="AC20" s="1"/>
  <c r="K23" i="8" s="1"/>
  <c r="AB24" i="22"/>
  <c r="AC24" s="1"/>
  <c r="K27" i="8" s="1"/>
  <c r="AB21" i="22"/>
  <c r="AB23"/>
  <c r="AB25"/>
  <c r="AG25" i="21"/>
  <c r="AI25" s="1"/>
  <c r="AJ25" s="1"/>
  <c r="AK25"/>
  <c r="AL25" s="1"/>
  <c r="G20" i="8"/>
  <c r="G19"/>
  <c r="G18"/>
  <c r="G17"/>
  <c r="G16"/>
  <c r="G15"/>
  <c r="G14"/>
  <c r="G13"/>
  <c r="K16"/>
  <c r="K17"/>
  <c r="K15"/>
  <c r="AB19" i="7"/>
  <c r="AC19" s="1"/>
  <c r="K5" i="8" s="1"/>
  <c r="AB23" i="7"/>
  <c r="AC23" s="1"/>
  <c r="K9" i="8" s="1"/>
  <c r="AB18" i="7"/>
  <c r="AC18" s="1"/>
  <c r="K4" i="8" s="1"/>
  <c r="AS20" i="10"/>
  <c r="AS23"/>
  <c r="P9" i="27" s="1"/>
  <c r="AO20" i="10"/>
  <c r="AQ20" s="1"/>
  <c r="AT21" i="25"/>
  <c r="AV21" s="1"/>
  <c r="AW21" s="1"/>
  <c r="M6" i="27"/>
  <c r="AQ18" i="25"/>
  <c r="AR18" s="1"/>
  <c r="AZ18" s="1"/>
  <c r="S10" i="23"/>
  <c r="AT20" i="10"/>
  <c r="P6" i="27"/>
  <c r="AQ21" i="10"/>
  <c r="M7" i="27"/>
  <c r="S20" i="25"/>
  <c r="AQ20" s="1"/>
  <c r="AR20" s="1"/>
  <c r="AZ20" s="1"/>
  <c r="J6" i="26"/>
  <c r="O20" i="7"/>
  <c r="I6" i="8"/>
  <c r="L9" i="23"/>
  <c r="K9"/>
  <c r="M8"/>
  <c r="AV22" i="10"/>
  <c r="K8" i="27"/>
  <c r="AS22" i="10"/>
  <c r="AO22"/>
  <c r="S22" i="25"/>
  <c r="AQ22" s="1"/>
  <c r="AR22" s="1"/>
  <c r="J8" i="26"/>
  <c r="AS21" i="10"/>
  <c r="K7" i="27"/>
  <c r="AL19" i="10"/>
  <c r="AM19" s="1"/>
  <c r="O22" i="7"/>
  <c r="I8" i="8"/>
  <c r="O24" i="7"/>
  <c r="J10" i="8" s="1"/>
  <c r="I10"/>
  <c r="O23" i="7"/>
  <c r="J9" i="8" s="1"/>
  <c r="I9"/>
  <c r="K7" i="23"/>
  <c r="M5"/>
  <c r="AQ19" i="25"/>
  <c r="AR19" s="1"/>
  <c r="AT19" s="1"/>
  <c r="L5" i="26"/>
  <c r="AV23" i="10"/>
  <c r="AT23"/>
  <c r="AO23"/>
  <c r="AC22" i="22"/>
  <c r="K25" i="8" s="1"/>
  <c r="AC26" i="22"/>
  <c r="K29" i="8" s="1"/>
  <c r="L22" i="22"/>
  <c r="N22" s="1"/>
  <c r="O22" s="1"/>
  <c r="J25" i="8" s="1"/>
  <c r="O20" i="22"/>
  <c r="J23" i="8" s="1"/>
  <c r="I23"/>
  <c r="O24" i="22"/>
  <c r="J27" i="8" s="1"/>
  <c r="I27"/>
  <c r="O26" i="22"/>
  <c r="J29" i="8" s="1"/>
  <c r="I29"/>
  <c r="O21" i="22"/>
  <c r="J24" i="8" s="1"/>
  <c r="I24"/>
  <c r="O23" i="22"/>
  <c r="I26" i="8"/>
  <c r="O25" i="22"/>
  <c r="J28" i="8" s="1"/>
  <c r="I28"/>
  <c r="AC23" i="22"/>
  <c r="K26" i="8" s="1"/>
  <c r="O19" i="22"/>
  <c r="J22" i="8" s="1"/>
  <c r="I22"/>
  <c r="I16"/>
  <c r="I18"/>
  <c r="I15"/>
  <c r="I19"/>
  <c r="I14"/>
  <c r="I20"/>
  <c r="I17"/>
  <c r="I13"/>
  <c r="T18" i="10"/>
  <c r="AY23" i="25"/>
  <c r="R9" i="26"/>
  <c r="AV23" i="25"/>
  <c r="O9" i="26"/>
  <c r="AT22" i="25"/>
  <c r="AC21" i="22"/>
  <c r="K24" i="8" s="1"/>
  <c r="AC25" i="22"/>
  <c r="AC19"/>
  <c r="AD23" i="7"/>
  <c r="AE23" s="1"/>
  <c r="AM23" s="1"/>
  <c r="AD24"/>
  <c r="AE24" s="1"/>
  <c r="AM24" s="1"/>
  <c r="AF21"/>
  <c r="M7" i="8" s="1"/>
  <c r="L21" i="7"/>
  <c r="N21" s="1"/>
  <c r="L19"/>
  <c r="N19" s="1"/>
  <c r="AF19"/>
  <c r="M5" i="8" s="1"/>
  <c r="AC25" i="7"/>
  <c r="K11" i="8" s="1"/>
  <c r="AF25" i="7"/>
  <c r="M11" i="8" s="1"/>
  <c r="L25" i="7"/>
  <c r="N25" s="1"/>
  <c r="AS19" i="10" l="1"/>
  <c r="AU19"/>
  <c r="K6" i="27"/>
  <c r="AV20" i="10"/>
  <c r="AX21" i="25"/>
  <c r="AY21" s="1"/>
  <c r="AZ21"/>
  <c r="BA21" s="1"/>
  <c r="AX22"/>
  <c r="AY22" s="1"/>
  <c r="AZ22"/>
  <c r="BA22" s="1"/>
  <c r="M5" i="26"/>
  <c r="AZ19" i="25"/>
  <c r="BA19" s="1"/>
  <c r="N8" i="23"/>
  <c r="AD24" i="22"/>
  <c r="K19" i="8"/>
  <c r="K20"/>
  <c r="K13"/>
  <c r="K14"/>
  <c r="K18"/>
  <c r="AG24" i="7"/>
  <c r="AI24" s="1"/>
  <c r="AO19" i="10"/>
  <c r="O19" i="7"/>
  <c r="I5" i="8"/>
  <c r="U18" i="10"/>
  <c r="H4" i="27"/>
  <c r="AT21" i="10"/>
  <c r="P7" i="27"/>
  <c r="AD20" i="7"/>
  <c r="AE20" s="1"/>
  <c r="AM20" s="1"/>
  <c r="J6" i="8"/>
  <c r="AR20" i="10"/>
  <c r="O6" i="27"/>
  <c r="AN24" i="7"/>
  <c r="L10" i="8"/>
  <c r="AV19" i="25"/>
  <c r="O5" i="26"/>
  <c r="R8"/>
  <c r="AQ22" i="10"/>
  <c r="M8" i="27"/>
  <c r="AN23" i="7"/>
  <c r="L9" i="8"/>
  <c r="AD22" i="7"/>
  <c r="AE22" s="1"/>
  <c r="AM22" s="1"/>
  <c r="J8" i="8"/>
  <c r="AV22" i="25"/>
  <c r="O8" i="26"/>
  <c r="L7" i="23"/>
  <c r="AV19" i="10"/>
  <c r="K5" i="27"/>
  <c r="M8" i="26"/>
  <c r="M6"/>
  <c r="AX20" i="25"/>
  <c r="BA20"/>
  <c r="AT20"/>
  <c r="M4" i="26"/>
  <c r="AT18" i="25"/>
  <c r="BA18"/>
  <c r="AX18"/>
  <c r="S6" i="23"/>
  <c r="N5"/>
  <c r="AT22" i="10"/>
  <c r="P8" i="27"/>
  <c r="AR21" i="10"/>
  <c r="O7" i="27"/>
  <c r="N9" i="23"/>
  <c r="AT19" i="10"/>
  <c r="P5" i="27"/>
  <c r="O21" i="7"/>
  <c r="I7" i="8"/>
  <c r="P6" i="23"/>
  <c r="AQ19" i="10"/>
  <c r="M5" i="27"/>
  <c r="M7" i="26"/>
  <c r="P10" i="23"/>
  <c r="AX19" i="25"/>
  <c r="AQ23" i="10"/>
  <c r="M9" i="27"/>
  <c r="I25" i="8"/>
  <c r="AD22" i="22"/>
  <c r="AE22" s="1"/>
  <c r="AM22" s="1"/>
  <c r="AD26"/>
  <c r="L29" i="8" s="1"/>
  <c r="O25" i="7"/>
  <c r="J11" i="8" s="1"/>
  <c r="I11"/>
  <c r="AD20" i="22"/>
  <c r="AE20" s="1"/>
  <c r="AM20" s="1"/>
  <c r="AD23"/>
  <c r="J26" i="8"/>
  <c r="AE24" i="22"/>
  <c r="AM24" s="1"/>
  <c r="L27" i="8"/>
  <c r="AD25" i="22"/>
  <c r="K28" i="8"/>
  <c r="AD21" i="22"/>
  <c r="AD19"/>
  <c r="K22" i="8"/>
  <c r="J17"/>
  <c r="J20"/>
  <c r="J14"/>
  <c r="J19"/>
  <c r="J15"/>
  <c r="J18"/>
  <c r="J16"/>
  <c r="J13"/>
  <c r="AW23" i="25"/>
  <c r="Q9" i="26"/>
  <c r="AK24" i="7"/>
  <c r="AK23"/>
  <c r="AG23"/>
  <c r="L4" i="23"/>
  <c r="O18" i="7"/>
  <c r="J4" i="8" s="1"/>
  <c r="N10" l="1"/>
  <c r="R10" i="23"/>
  <c r="R6"/>
  <c r="AY18" i="25"/>
  <c r="R4" i="26"/>
  <c r="AV20" i="25"/>
  <c r="O6" i="26"/>
  <c r="P8" i="23"/>
  <c r="AD19" i="7"/>
  <c r="AE19" s="1"/>
  <c r="AM19" s="1"/>
  <c r="J5" i="8"/>
  <c r="O7" i="26"/>
  <c r="S8" i="23"/>
  <c r="AW22" i="25"/>
  <c r="Q8" i="26"/>
  <c r="L25" i="8"/>
  <c r="AL24" i="7"/>
  <c r="Q10" i="8"/>
  <c r="R7" i="26"/>
  <c r="AR19" i="10"/>
  <c r="O5" i="27"/>
  <c r="AD21" i="7"/>
  <c r="AE21" s="1"/>
  <c r="AM21" s="1"/>
  <c r="J7" i="8"/>
  <c r="P9" i="23"/>
  <c r="AV18" i="25"/>
  <c r="O4" i="26"/>
  <c r="AY20" i="25"/>
  <c r="R6" i="26"/>
  <c r="AR22" i="10"/>
  <c r="O8" i="27"/>
  <c r="AW19" i="25"/>
  <c r="Q5" i="26"/>
  <c r="AJ24" i="7"/>
  <c r="P10" i="8"/>
  <c r="L6"/>
  <c r="AN20" i="7"/>
  <c r="AK20"/>
  <c r="AG20"/>
  <c r="AL18" i="10"/>
  <c r="AM18" s="1"/>
  <c r="AU18" s="1"/>
  <c r="I4" i="27"/>
  <c r="AI23" i="7"/>
  <c r="N9" i="8"/>
  <c r="AY19" i="25"/>
  <c r="R5" i="26"/>
  <c r="P5" i="23"/>
  <c r="S9"/>
  <c r="AL23" i="7"/>
  <c r="Q9" i="8"/>
  <c r="S5" i="23"/>
  <c r="N7"/>
  <c r="L8" i="8"/>
  <c r="AK22" i="7"/>
  <c r="AG22"/>
  <c r="AN22"/>
  <c r="AR23" i="10"/>
  <c r="O9" i="27"/>
  <c r="AE26" i="22"/>
  <c r="AD25" i="7"/>
  <c r="AE25" s="1"/>
  <c r="AM25" s="1"/>
  <c r="L23" i="8"/>
  <c r="AE21" i="22"/>
  <c r="AM21" s="1"/>
  <c r="L24" i="8"/>
  <c r="M23"/>
  <c r="AN20" i="22"/>
  <c r="AG20"/>
  <c r="AK20"/>
  <c r="AE25"/>
  <c r="AM25" s="1"/>
  <c r="L28" i="8"/>
  <c r="M27"/>
  <c r="AN24" i="22"/>
  <c r="AG24"/>
  <c r="AK24"/>
  <c r="AE23"/>
  <c r="AM23" s="1"/>
  <c r="L26" i="8"/>
  <c r="M25"/>
  <c r="AK22" i="22"/>
  <c r="AG22"/>
  <c r="AN22"/>
  <c r="AE19"/>
  <c r="AM19" s="1"/>
  <c r="L22" i="8"/>
  <c r="AM22" i="21"/>
  <c r="L16" i="8"/>
  <c r="AM24" i="21"/>
  <c r="L18" i="8"/>
  <c r="AM21" i="21"/>
  <c r="L15" i="8"/>
  <c r="AM25" i="21"/>
  <c r="L19" i="8"/>
  <c r="AM20" i="21"/>
  <c r="L14" i="8"/>
  <c r="AM26" i="21"/>
  <c r="L20" i="8"/>
  <c r="AM23" i="21"/>
  <c r="L17" i="8"/>
  <c r="AM19" i="21"/>
  <c r="L13" i="8"/>
  <c r="AD18" i="7"/>
  <c r="AE18" s="1"/>
  <c r="N4" i="23" l="1"/>
  <c r="M29" i="8"/>
  <c r="AM26" i="22"/>
  <c r="L4" i="8"/>
  <c r="AM18" i="7"/>
  <c r="S7" i="23"/>
  <c r="Q7" i="26"/>
  <c r="R5" i="23"/>
  <c r="AJ23" i="7"/>
  <c r="P9" i="8"/>
  <c r="AL20" i="7"/>
  <c r="Q6" i="8"/>
  <c r="AW18" i="25"/>
  <c r="Q4" i="26"/>
  <c r="L7" i="8"/>
  <c r="AN21" i="7"/>
  <c r="AG21"/>
  <c r="AK21"/>
  <c r="R8" i="23"/>
  <c r="AL22" i="7"/>
  <c r="Q8" i="8"/>
  <c r="P7" i="23"/>
  <c r="AI20" i="7"/>
  <c r="N6" i="8"/>
  <c r="L5"/>
  <c r="AN19" i="7"/>
  <c r="AG19"/>
  <c r="AK19"/>
  <c r="AW20" i="25"/>
  <c r="Q6" i="26"/>
  <c r="AI22" i="7"/>
  <c r="N8" i="8"/>
  <c r="K4" i="27"/>
  <c r="AS18" i="10"/>
  <c r="AV18"/>
  <c r="AO18"/>
  <c r="R9" i="23"/>
  <c r="AN26" i="22"/>
  <c r="AK26"/>
  <c r="Q29" i="8" s="1"/>
  <c r="AG26" i="22"/>
  <c r="AI26" s="1"/>
  <c r="AN25" i="7"/>
  <c r="L11" i="8"/>
  <c r="AK25" i="7"/>
  <c r="AG25"/>
  <c r="AL22" i="22"/>
  <c r="Q25" i="8"/>
  <c r="AL26" i="22"/>
  <c r="AL24"/>
  <c r="Q27" i="8"/>
  <c r="AL20" i="22"/>
  <c r="Q23" i="8"/>
  <c r="AI22" i="22"/>
  <c r="O25" i="8"/>
  <c r="M26"/>
  <c r="AK23" i="22"/>
  <c r="AG23"/>
  <c r="AN23"/>
  <c r="AI24"/>
  <c r="O27" i="8"/>
  <c r="M28"/>
  <c r="AN25" i="22"/>
  <c r="AK25"/>
  <c r="AG25"/>
  <c r="AI20"/>
  <c r="O23" i="8"/>
  <c r="M24"/>
  <c r="AN21" i="22"/>
  <c r="AG21"/>
  <c r="AK21"/>
  <c r="M22" i="8"/>
  <c r="AK19" i="22"/>
  <c r="AG19"/>
  <c r="AN19"/>
  <c r="M17" i="8"/>
  <c r="AN23" i="21"/>
  <c r="M20" i="8"/>
  <c r="AN26" i="21"/>
  <c r="M14" i="8"/>
  <c r="AN20" i="21"/>
  <c r="M19" i="8"/>
  <c r="AN25" i="21"/>
  <c r="M15" i="8"/>
  <c r="AN21" i="21"/>
  <c r="M18" i="8"/>
  <c r="AN24" i="21"/>
  <c r="M16" i="8"/>
  <c r="AN22" i="21"/>
  <c r="M13" i="8"/>
  <c r="AN19" i="21"/>
  <c r="AN18" i="7"/>
  <c r="AK18"/>
  <c r="AG18"/>
  <c r="N4" i="8" s="1"/>
  <c r="R7" i="23" l="1"/>
  <c r="AT18" i="10"/>
  <c r="P4" i="27"/>
  <c r="AJ22" i="7"/>
  <c r="P8" i="8"/>
  <c r="AI19" i="7"/>
  <c r="N5" i="8"/>
  <c r="AJ20" i="7"/>
  <c r="P6" i="8"/>
  <c r="AI21" i="7"/>
  <c r="N7" i="8"/>
  <c r="AL18" i="7"/>
  <c r="Q4" i="8"/>
  <c r="AQ18" i="10"/>
  <c r="M4" i="27"/>
  <c r="AL19" i="7"/>
  <c r="Q5" i="8"/>
  <c r="AL21" i="7"/>
  <c r="Q7" i="8"/>
  <c r="AI18" i="7"/>
  <c r="O29" i="8"/>
  <c r="AL25" i="7"/>
  <c r="Q11" i="8"/>
  <c r="AI25" i="7"/>
  <c r="N11" i="8"/>
  <c r="AI21" i="22"/>
  <c r="O24" i="8"/>
  <c r="AJ20" i="22"/>
  <c r="P23" i="8"/>
  <c r="AL25" i="22"/>
  <c r="Q28" i="8"/>
  <c r="AJ24" i="22"/>
  <c r="P27" i="8"/>
  <c r="AJ26" i="22"/>
  <c r="P29" i="8"/>
  <c r="AI23" i="22"/>
  <c r="O26" i="8"/>
  <c r="AJ22" i="22"/>
  <c r="P25" i="8"/>
  <c r="AL21" i="22"/>
  <c r="Q24" i="8"/>
  <c r="AI25" i="22"/>
  <c r="O28" i="8"/>
  <c r="AL23" i="22"/>
  <c r="Q26" i="8"/>
  <c r="AL19" i="22"/>
  <c r="Q22" i="8"/>
  <c r="AI19" i="22"/>
  <c r="O22" i="8"/>
  <c r="Q16"/>
  <c r="O18"/>
  <c r="Q18"/>
  <c r="O15"/>
  <c r="Q15"/>
  <c r="Q19"/>
  <c r="O14"/>
  <c r="Q14"/>
  <c r="Q20"/>
  <c r="Q17"/>
  <c r="O16"/>
  <c r="O19"/>
  <c r="O20"/>
  <c r="O17"/>
  <c r="O13"/>
  <c r="Q13"/>
  <c r="S4" i="23"/>
  <c r="P4"/>
  <c r="AJ18" i="7" l="1"/>
  <c r="P4" i="8"/>
  <c r="AJ21" i="7"/>
  <c r="P7" i="8"/>
  <c r="AJ19" i="7"/>
  <c r="P5" i="8"/>
  <c r="AR18" i="10"/>
  <c r="O4" i="27"/>
  <c r="AJ25" i="7"/>
  <c r="P11" i="8"/>
  <c r="AJ25" i="22"/>
  <c r="P28" i="8"/>
  <c r="AJ21" i="22"/>
  <c r="P24" i="8"/>
  <c r="AJ23" i="22"/>
  <c r="P26" i="8"/>
  <c r="AJ19" i="22"/>
  <c r="P22" i="8"/>
  <c r="P17"/>
  <c r="P20"/>
  <c r="P19"/>
  <c r="P16"/>
  <c r="P14"/>
  <c r="P15"/>
  <c r="P18"/>
  <c r="P13"/>
  <c r="R4" i="23"/>
</calcChain>
</file>

<file path=xl/sharedStrings.xml><?xml version="1.0" encoding="utf-8"?>
<sst xmlns="http://schemas.openxmlformats.org/spreadsheetml/2006/main" count="961" uniqueCount="154">
  <si>
    <t>t/m3</t>
  </si>
  <si>
    <t>t/m2</t>
  </si>
  <si>
    <t>Debida al rozamiento del dado de hormigón con el terreno</t>
  </si>
  <si>
    <t>Debida a la reacción del terreno sobre las paredes del dado de anclaje</t>
  </si>
  <si>
    <t>Peso Específico del Hormigón</t>
  </si>
  <si>
    <t>Peso Específico del Acero</t>
  </si>
  <si>
    <t>Peso Específico del Terreno</t>
  </si>
  <si>
    <t>DN</t>
  </si>
  <si>
    <t>EMPUJE</t>
  </si>
  <si>
    <t>(mm)</t>
  </si>
  <si>
    <t>°</t>
  </si>
  <si>
    <t>(atm)</t>
  </si>
  <si>
    <t>(t)</t>
  </si>
  <si>
    <t>DIMENSIONES DEL ANCLAJE</t>
  </si>
  <si>
    <t>ÁNGULO</t>
  </si>
  <si>
    <t>PRESIÓN</t>
  </si>
  <si>
    <t>(m)</t>
  </si>
  <si>
    <t>a</t>
  </si>
  <si>
    <t>d</t>
  </si>
  <si>
    <t>R</t>
  </si>
  <si>
    <t>h</t>
  </si>
  <si>
    <t>S</t>
  </si>
  <si>
    <t>ENCOFRADO</t>
  </si>
  <si>
    <t>(m2)</t>
  </si>
  <si>
    <t>(m3)</t>
  </si>
  <si>
    <t>PESO HORMIGÓN</t>
  </si>
  <si>
    <t>PESO ARMADURAS</t>
  </si>
  <si>
    <t>PESO ARMADURAS - PIEZA 1</t>
  </si>
  <si>
    <t>Barras h m</t>
  </si>
  <si>
    <t>(ud)</t>
  </si>
  <si>
    <t>Recubrimientos Mínimos</t>
  </si>
  <si>
    <t>Separación entre armaduras</t>
  </si>
  <si>
    <t>Diámetro</t>
  </si>
  <si>
    <t>mm</t>
  </si>
  <si>
    <r>
      <t>Coef. Rozamiento Hormigón - Terreno (</t>
    </r>
    <r>
      <rPr>
        <sz val="10"/>
        <rFont val="Calibri"/>
        <family val="2"/>
      </rPr>
      <t>µ</t>
    </r>
    <r>
      <rPr>
        <sz val="10"/>
        <rFont val="Arial Narrow"/>
        <family val="2"/>
      </rPr>
      <t>)</t>
    </r>
  </si>
  <si>
    <t>DATOS DE PARTIDA - MATERIALES</t>
  </si>
  <si>
    <t>DATOS DE PARTIDA - ARMADURAS</t>
  </si>
  <si>
    <t>Froz</t>
  </si>
  <si>
    <t>Fterreno</t>
  </si>
  <si>
    <t>G</t>
  </si>
  <si>
    <t>Debida al peso del dado de anclaje</t>
  </si>
  <si>
    <t>T</t>
  </si>
  <si>
    <t>Debida al peso del terreno por encima del anclaje</t>
  </si>
  <si>
    <t>PESO ARMADURAS - PIEZA 2</t>
  </si>
  <si>
    <t>PESO ARMADURAS - PIEZA 3</t>
  </si>
  <si>
    <t>PESO ANCLAJE</t>
  </si>
  <si>
    <t>Profundidad hasta cara sup dado</t>
  </si>
  <si>
    <t>m</t>
  </si>
  <si>
    <t>FUERZAS QUE ACTÚAN</t>
  </si>
  <si>
    <t>Cs</t>
  </si>
  <si>
    <t>Cv</t>
  </si>
  <si>
    <t>frente al deslizamiento</t>
  </si>
  <si>
    <t>frente al vuelco</t>
  </si>
  <si>
    <t>Valor</t>
  </si>
  <si>
    <t>¿Cumple?</t>
  </si>
  <si>
    <t>DESLIZAMIENTO</t>
  </si>
  <si>
    <t>VUELCO</t>
  </si>
  <si>
    <t>HORMIGÓN HA-25/P/20/IIa</t>
  </si>
  <si>
    <t>Barras R m</t>
  </si>
  <si>
    <t>-</t>
  </si>
  <si>
    <t>V. HORMIGÓN</t>
  </si>
  <si>
    <t>V. ANCLAJE</t>
  </si>
  <si>
    <t>HUNDIMIENTO</t>
  </si>
  <si>
    <t>Ch</t>
  </si>
  <si>
    <t>frente al hundimiento</t>
  </si>
  <si>
    <t>Tipo Terreno</t>
  </si>
  <si>
    <t>Mpa</t>
  </si>
  <si>
    <t>N/m2</t>
  </si>
  <si>
    <t>CTE-SE-Cimentaciones</t>
  </si>
  <si>
    <t>Profundidad hasta generatriz superior tubería</t>
  </si>
  <si>
    <t>L (m)</t>
  </si>
  <si>
    <t>h (m)</t>
  </si>
  <si>
    <t>TERRENO (t)</t>
  </si>
  <si>
    <t>Froz (t)</t>
  </si>
  <si>
    <t>Fterreno (t)</t>
  </si>
  <si>
    <t>FUERZAS ACTUANTES</t>
  </si>
  <si>
    <t>ANCLAJE (t)</t>
  </si>
  <si>
    <t>COEF. SEGURIDAD</t>
  </si>
  <si>
    <t>DN1</t>
  </si>
  <si>
    <t>DN2</t>
  </si>
  <si>
    <t>b</t>
  </si>
  <si>
    <t>c</t>
  </si>
  <si>
    <t>Barras c m</t>
  </si>
  <si>
    <t>DIMENSIONES DE LAS PLACAS INTERIORES</t>
  </si>
  <si>
    <t>nº placas</t>
  </si>
  <si>
    <t>uds</t>
  </si>
  <si>
    <t>espesor</t>
  </si>
  <si>
    <t>PLACAS ACERO GALVANIZADO L275</t>
  </si>
  <si>
    <t>DATOS DE PARTIDA - COEFICIENTES DE SEGURIDAD SEGÚN CTE-SE (CIMENTACIONES)</t>
  </si>
  <si>
    <t>r</t>
  </si>
  <si>
    <t>V. TUBO</t>
  </si>
  <si>
    <t>Peso redondo</t>
  </si>
  <si>
    <t>kg/m</t>
  </si>
  <si>
    <t>c'</t>
  </si>
  <si>
    <t>Barras c' m</t>
  </si>
  <si>
    <t>r'</t>
  </si>
  <si>
    <t>Barras r' m</t>
  </si>
  <si>
    <t>cte</t>
  </si>
  <si>
    <t>R (m)</t>
  </si>
  <si>
    <t>c (m)</t>
  </si>
  <si>
    <t>L</t>
  </si>
  <si>
    <t>L'</t>
  </si>
  <si>
    <t>P</t>
  </si>
  <si>
    <t>P'</t>
  </si>
  <si>
    <t>PLETINA ACERO</t>
  </si>
  <si>
    <t>Cantidad</t>
  </si>
  <si>
    <t>Largo</t>
  </si>
  <si>
    <t>Ancho</t>
  </si>
  <si>
    <t>P + P'</t>
  </si>
  <si>
    <t>Barras P + P'</t>
  </si>
  <si>
    <t>Barras L</t>
  </si>
  <si>
    <t>Barras h</t>
  </si>
  <si>
    <t>Barras P</t>
  </si>
  <si>
    <t>Barras P'</t>
  </si>
  <si>
    <t>Barras L'</t>
  </si>
  <si>
    <t>Espesor</t>
  </si>
  <si>
    <t>L' (m)</t>
  </si>
  <si>
    <t>P (m)</t>
  </si>
  <si>
    <t>P' (m)</t>
  </si>
  <si>
    <t>Barras a</t>
  </si>
  <si>
    <t>Barras b</t>
  </si>
  <si>
    <t>a (m)</t>
  </si>
  <si>
    <t>b (m)</t>
  </si>
  <si>
    <t>Presión admisible del terreno horizontal (σh)</t>
  </si>
  <si>
    <t>cte2</t>
  </si>
  <si>
    <t>cte1</t>
  </si>
  <si>
    <t>cte3</t>
  </si>
  <si>
    <t>cte4</t>
  </si>
  <si>
    <t>cte5</t>
  </si>
  <si>
    <t>Coeficiente de empuje al reposo (Ko)</t>
  </si>
  <si>
    <t>(Se considera una presión admisible de 20 t/m² porque es terreno firme sin excavar)</t>
  </si>
  <si>
    <t>Presión admisible del terreno vertical (σv)</t>
  </si>
  <si>
    <t>GEOMETRIA DEL BLOQUE</t>
  </si>
  <si>
    <t>COEFICIENTES DE SEGURIDAD</t>
  </si>
  <si>
    <t>Longitud</t>
  </si>
  <si>
    <t>Peso</t>
  </si>
  <si>
    <t>ARMADURAS</t>
  </si>
  <si>
    <t>ANCLAJE</t>
  </si>
  <si>
    <t>ARMADO - PIEZA 1</t>
  </si>
  <si>
    <t>ARMADO - PIEZA 2</t>
  </si>
  <si>
    <t>ARMADO - PIEZA 3</t>
  </si>
  <si>
    <t>ARMADO - PIEZA 4</t>
  </si>
  <si>
    <t>PLETINA</t>
  </si>
  <si>
    <t>COLECTOR</t>
  </si>
  <si>
    <t>DERIVACION</t>
  </si>
  <si>
    <t>ARMADO PIEZA 2</t>
  </si>
  <si>
    <t xml:space="preserve">GEOMETRÍA DEL BLOQUE </t>
  </si>
  <si>
    <t>DADO</t>
  </si>
  <si>
    <t>Volumen</t>
  </si>
  <si>
    <t>Superficie</t>
  </si>
  <si>
    <t xml:space="preserve"> ARMADO - PIEZA 1</t>
  </si>
  <si>
    <t>Coeficiente de empuje (Ko)</t>
  </si>
  <si>
    <t>Valor estándar tension efectiva horizontal (σh)</t>
  </si>
  <si>
    <t>Valor estándar tension efectiva vertical (σv)</t>
  </si>
</sst>
</file>

<file path=xl/styles.xml><?xml version="1.0" encoding="utf-8"?>
<styleSheet xmlns="http://schemas.openxmlformats.org/spreadsheetml/2006/main">
  <numFmts count="4">
    <numFmt numFmtId="164" formatCode="_-* #,##0.00\ _p_t_a_-;\-* #,##0.00\ _p_t_a_-;_-* &quot;-&quot;??\ _p_t_a_-;_-@_-"/>
    <numFmt numFmtId="165" formatCode="0.000"/>
    <numFmt numFmtId="166" formatCode="0.0000"/>
    <numFmt numFmtId="167" formatCode="0.00000"/>
  </numFmts>
  <fonts count="1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Calibri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8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168">
    <xf numFmtId="0" fontId="0" fillId="0" borderId="0" xfId="0"/>
    <xf numFmtId="0" fontId="4" fillId="0" borderId="0" xfId="4" applyFont="1"/>
    <xf numFmtId="164" fontId="4" fillId="0" borderId="0" xfId="2" applyFont="1"/>
    <xf numFmtId="2" fontId="4" fillId="0" borderId="0" xfId="4" applyNumberFormat="1" applyFont="1"/>
    <xf numFmtId="0" fontId="5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164" fontId="4" fillId="0" borderId="0" xfId="2" applyFont="1" applyAlignment="1">
      <alignment horizontal="center"/>
    </xf>
    <xf numFmtId="164" fontId="4" fillId="0" borderId="0" xfId="2" applyFont="1" applyAlignment="1">
      <alignment horizontal="left"/>
    </xf>
    <xf numFmtId="164" fontId="6" fillId="0" borderId="0" xfId="2" applyFont="1"/>
    <xf numFmtId="164" fontId="7" fillId="0" borderId="0" xfId="2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0" borderId="0" xfId="0"/>
    <xf numFmtId="164" fontId="4" fillId="0" borderId="0" xfId="2" applyFont="1" applyAlignment="1">
      <alignment horizontal="left" vertical="center"/>
    </xf>
    <xf numFmtId="164" fontId="7" fillId="0" borderId="0" xfId="2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164" fontId="7" fillId="0" borderId="1" xfId="2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7" fillId="0" borderId="2" xfId="2" applyFont="1" applyBorder="1" applyAlignment="1">
      <alignment horizontal="center" vertical="center" wrapText="1"/>
    </xf>
    <xf numFmtId="164" fontId="7" fillId="0" borderId="2" xfId="2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7" fillId="0" borderId="3" xfId="2" applyFont="1" applyBorder="1" applyAlignment="1">
      <alignment horizontal="center" vertical="center" wrapText="1"/>
    </xf>
    <xf numFmtId="164" fontId="7" fillId="0" borderId="0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/>
    </xf>
    <xf numFmtId="164" fontId="7" fillId="0" borderId="0" xfId="2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64" fontId="7" fillId="0" borderId="0" xfId="2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4" fontId="9" fillId="0" borderId="0" xfId="0" applyNumberFormat="1" applyFont="1"/>
    <xf numFmtId="4" fontId="9" fillId="2" borderId="0" xfId="0" applyNumberFormat="1" applyFont="1" applyFill="1"/>
    <xf numFmtId="0" fontId="9" fillId="2" borderId="0" xfId="0" applyFont="1" applyFill="1"/>
    <xf numFmtId="0" fontId="7" fillId="0" borderId="4" xfId="4" applyFont="1" applyBorder="1" applyAlignment="1">
      <alignment horizontal="center" vertical="center" wrapText="1"/>
    </xf>
    <xf numFmtId="164" fontId="7" fillId="0" borderId="4" xfId="2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/>
    </xf>
    <xf numFmtId="164" fontId="7" fillId="0" borderId="4" xfId="2" applyFont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64" fontId="4" fillId="0" borderId="0" xfId="2" applyFont="1" applyAlignment="1">
      <alignment horizontal="left"/>
    </xf>
    <xf numFmtId="0" fontId="0" fillId="0" borderId="0" xfId="0"/>
    <xf numFmtId="0" fontId="4" fillId="0" borderId="0" xfId="4" applyFont="1"/>
    <xf numFmtId="164" fontId="4" fillId="0" borderId="0" xfId="2" applyFont="1" applyAlignment="1">
      <alignment horizontal="center"/>
    </xf>
    <xf numFmtId="164" fontId="4" fillId="0" borderId="0" xfId="2" applyFont="1" applyAlignment="1">
      <alignment horizontal="left"/>
    </xf>
    <xf numFmtId="164" fontId="7" fillId="0" borderId="0" xfId="2" applyFont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64" fontId="7" fillId="0" borderId="0" xfId="2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 wrapText="1"/>
    </xf>
    <xf numFmtId="164" fontId="15" fillId="0" borderId="0" xfId="2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7" fillId="0" borderId="1" xfId="2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4" fontId="15" fillId="0" borderId="0" xfId="2" applyFont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0" fontId="0" fillId="3" borderId="0" xfId="0" applyFill="1"/>
    <xf numFmtId="164" fontId="7" fillId="0" borderId="0" xfId="2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/>
    </xf>
    <xf numFmtId="164" fontId="7" fillId="0" borderId="1" xfId="2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164" fontId="7" fillId="0" borderId="0" xfId="2" applyFont="1" applyBorder="1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64" fontId="16" fillId="0" borderId="0" xfId="2" applyFont="1" applyAlignment="1">
      <alignment horizontal="left"/>
    </xf>
    <xf numFmtId="164" fontId="17" fillId="0" borderId="0" xfId="2" applyFont="1"/>
    <xf numFmtId="164" fontId="16" fillId="0" borderId="0" xfId="2" applyFont="1" applyAlignment="1">
      <alignment horizontal="center"/>
    </xf>
    <xf numFmtId="0" fontId="16" fillId="0" borderId="0" xfId="4" applyFont="1"/>
    <xf numFmtId="2" fontId="9" fillId="0" borderId="3" xfId="0" applyNumberFormat="1" applyFont="1" applyFill="1" applyBorder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164" fontId="7" fillId="0" borderId="8" xfId="2" applyFont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64" fontId="7" fillId="0" borderId="4" xfId="9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67" fontId="9" fillId="0" borderId="0" xfId="0" applyNumberFormat="1" applyFont="1" applyBorder="1" applyAlignment="1">
      <alignment horizontal="center" vertical="center"/>
    </xf>
    <xf numFmtId="0" fontId="0" fillId="0" borderId="0" xfId="0"/>
    <xf numFmtId="164" fontId="7" fillId="0" borderId="1" xfId="11" applyFont="1" applyBorder="1" applyAlignment="1">
      <alignment horizontal="center" vertical="center"/>
    </xf>
    <xf numFmtId="164" fontId="7" fillId="0" borderId="0" xfId="11" applyFont="1" applyBorder="1" applyAlignment="1">
      <alignment horizontal="center" vertical="center" wrapText="1"/>
    </xf>
    <xf numFmtId="164" fontId="7" fillId="0" borderId="0" xfId="11" applyFont="1" applyBorder="1" applyAlignment="1">
      <alignment horizontal="center" vertical="center"/>
    </xf>
    <xf numFmtId="164" fontId="7" fillId="0" borderId="4" xfId="13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64" fontId="7" fillId="0" borderId="1" xfId="17" applyFont="1" applyBorder="1" applyAlignment="1">
      <alignment horizontal="center" vertical="center"/>
    </xf>
    <xf numFmtId="164" fontId="7" fillId="0" borderId="0" xfId="17" applyFont="1" applyBorder="1" applyAlignment="1">
      <alignment horizontal="center" vertical="center" wrapText="1"/>
    </xf>
    <xf numFmtId="164" fontId="7" fillId="0" borderId="3" xfId="15" applyFont="1" applyBorder="1" applyAlignment="1">
      <alignment horizontal="center" vertical="center" wrapText="1"/>
    </xf>
    <xf numFmtId="0" fontId="0" fillId="0" borderId="4" xfId="0" applyBorder="1"/>
    <xf numFmtId="164" fontId="7" fillId="0" borderId="4" xfId="2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164" fontId="7" fillId="0" borderId="1" xfId="21" applyFont="1" applyBorder="1" applyAlignment="1">
      <alignment horizontal="center" vertical="center"/>
    </xf>
    <xf numFmtId="164" fontId="7" fillId="0" borderId="0" xfId="21" applyFont="1" applyBorder="1" applyAlignment="1">
      <alignment horizontal="center" vertical="center" wrapText="1"/>
    </xf>
    <xf numFmtId="164" fontId="7" fillId="0" borderId="5" xfId="2" applyFont="1" applyBorder="1" applyAlignment="1">
      <alignment vertical="center" wrapText="1"/>
    </xf>
    <xf numFmtId="0" fontId="0" fillId="0" borderId="0" xfId="0"/>
    <xf numFmtId="0" fontId="14" fillId="2" borderId="0" xfId="0" applyFont="1" applyFill="1" applyAlignment="1">
      <alignment horizontal="center" vertical="center"/>
    </xf>
    <xf numFmtId="164" fontId="7" fillId="0" borderId="1" xfId="25" applyFont="1" applyBorder="1" applyAlignment="1">
      <alignment horizontal="center" vertical="center"/>
    </xf>
    <xf numFmtId="164" fontId="7" fillId="0" borderId="0" xfId="25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0" fillId="0" borderId="0" xfId="0"/>
    <xf numFmtId="2" fontId="2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164" fontId="7" fillId="0" borderId="5" xfId="2" applyFont="1" applyBorder="1" applyAlignment="1">
      <alignment horizontal="center" vertical="center" wrapText="1"/>
    </xf>
    <xf numFmtId="164" fontId="7" fillId="0" borderId="7" xfId="2" applyFont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164" fontId="7" fillId="0" borderId="4" xfId="9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0" xfId="10" applyFont="1" applyAlignment="1">
      <alignment horizontal="center" vertical="center" wrapText="1"/>
    </xf>
    <xf numFmtId="0" fontId="7" fillId="0" borderId="4" xfId="14" applyFont="1" applyBorder="1" applyAlignment="1">
      <alignment horizontal="center" vertical="center" wrapText="1"/>
    </xf>
    <xf numFmtId="0" fontId="7" fillId="0" borderId="5" xfId="14" applyFont="1" applyBorder="1" applyAlignment="1">
      <alignment horizontal="center" vertical="center" wrapText="1"/>
    </xf>
    <xf numFmtId="164" fontId="7" fillId="0" borderId="4" xfId="13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164" fontId="7" fillId="0" borderId="4" xfId="2" applyFont="1" applyBorder="1" applyAlignment="1">
      <alignment horizontal="center" vertical="center" wrapText="1"/>
    </xf>
    <xf numFmtId="0" fontId="7" fillId="0" borderId="9" xfId="24" applyFont="1" applyFill="1" applyBorder="1" applyAlignment="1">
      <alignment horizontal="center" vertical="center" wrapText="1"/>
    </xf>
    <xf numFmtId="0" fontId="7" fillId="0" borderId="8" xfId="24" applyFont="1" applyFill="1" applyBorder="1" applyAlignment="1">
      <alignment horizontal="center" vertical="center" wrapText="1"/>
    </xf>
    <xf numFmtId="0" fontId="7" fillId="0" borderId="4" xfId="24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4" xfId="28" applyFont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0" fontId="4" fillId="0" borderId="0" xfId="6" applyFont="1" applyFill="1" applyAlignment="1">
      <alignment horizontal="center"/>
    </xf>
    <xf numFmtId="0" fontId="1" fillId="0" borderId="0" xfId="0" applyFont="1"/>
  </cellXfs>
  <cellStyles count="29">
    <cellStyle name="Millares 2" xfId="1"/>
    <cellStyle name="Millares 3" xfId="2"/>
    <cellStyle name="Millares 3 10" xfId="21"/>
    <cellStyle name="Millares 3 11" xfId="23"/>
    <cellStyle name="Millares 3 12" xfId="25"/>
    <cellStyle name="Millares 3 13" xfId="27"/>
    <cellStyle name="Millares 3 2" xfId="5"/>
    <cellStyle name="Millares 3 3" xfId="7"/>
    <cellStyle name="Millares 3 4" xfId="9"/>
    <cellStyle name="Millares 3 5" xfId="11"/>
    <cellStyle name="Millares 3 6" xfId="13"/>
    <cellStyle name="Millares 3 7" xfId="17"/>
    <cellStyle name="Millares 3 8" xfId="15"/>
    <cellStyle name="Millares 3 9" xfId="19"/>
    <cellStyle name="Normal" xfId="0" builtinId="0"/>
    <cellStyle name="Normal 2" xfId="3"/>
    <cellStyle name="Normal 3" xfId="4"/>
    <cellStyle name="Normal 3 10" xfId="22"/>
    <cellStyle name="Normal 3 11" xfId="24"/>
    <cellStyle name="Normal 3 12" xfId="26"/>
    <cellStyle name="Normal 3 13" xfId="28"/>
    <cellStyle name="Normal 3 2" xfId="6"/>
    <cellStyle name="Normal 3 3" xfId="8"/>
    <cellStyle name="Normal 3 4" xfId="10"/>
    <cellStyle name="Normal 3 5" xfId="12"/>
    <cellStyle name="Normal 3 6" xfId="14"/>
    <cellStyle name="Normal 3 7" xfId="18"/>
    <cellStyle name="Normal 3 8" xfId="16"/>
    <cellStyle name="Normal 3 9" xfId="2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180975</xdr:rowOff>
    </xdr:from>
    <xdr:to>
      <xdr:col>8</xdr:col>
      <xdr:colOff>57150</xdr:colOff>
      <xdr:row>40</xdr:row>
      <xdr:rowOff>161925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80975"/>
          <a:ext cx="6096000" cy="76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8"/>
  <sheetViews>
    <sheetView workbookViewId="0">
      <selection activeCell="J18" sqref="J18:J28"/>
    </sheetView>
  </sheetViews>
  <sheetFormatPr baseColWidth="10" defaultRowHeight="15"/>
  <cols>
    <col min="1" max="6" width="11.42578125" style="12"/>
    <col min="7" max="7" width="11.42578125" style="42"/>
    <col min="8" max="10" width="11.42578125" style="12"/>
    <col min="11" max="12" width="0" style="12" hidden="1" customWidth="1"/>
    <col min="13" max="14" width="14.7109375" style="12" hidden="1" customWidth="1"/>
    <col min="15" max="15" width="15" style="12" hidden="1" customWidth="1"/>
    <col min="16" max="16" width="15.7109375" style="12" hidden="1" customWidth="1"/>
    <col min="17" max="18" width="14.7109375" style="12" hidden="1" customWidth="1"/>
    <col min="19" max="19" width="11.42578125" style="42" hidden="1" customWidth="1"/>
    <col min="20" max="20" width="11.42578125" style="12" hidden="1" customWidth="1"/>
    <col min="21" max="21" width="11.42578125" style="42" hidden="1" customWidth="1"/>
    <col min="22" max="24" width="11.42578125" style="12" hidden="1" customWidth="1"/>
    <col min="25" max="26" width="11.42578125" style="42" hidden="1" customWidth="1"/>
    <col min="27" max="27" width="11.42578125" style="12" hidden="1" customWidth="1"/>
    <col min="28" max="28" width="17" style="12" hidden="1" customWidth="1"/>
    <col min="29" max="32" width="14.7109375" style="12" hidden="1" customWidth="1"/>
    <col min="33" max="34" width="11.42578125" style="12" hidden="1" customWidth="1"/>
    <col min="35" max="37" width="11.42578125" style="12"/>
    <col min="38" max="39" width="11.42578125" style="12" customWidth="1"/>
    <col min="40" max="40" width="14.7109375" style="42" customWidth="1"/>
    <col min="41" max="41" width="14.7109375" style="12" customWidth="1"/>
    <col min="42" max="42" width="15.140625" style="12" customWidth="1"/>
    <col min="43" max="16384" width="11.42578125" style="12"/>
  </cols>
  <sheetData>
    <row r="1" spans="1:50">
      <c r="A1" s="4" t="s">
        <v>35</v>
      </c>
      <c r="F1" s="3"/>
      <c r="G1" s="3"/>
      <c r="H1" s="4" t="s">
        <v>36</v>
      </c>
      <c r="M1" s="4" t="s">
        <v>88</v>
      </c>
      <c r="AF1" s="2"/>
      <c r="AI1" s="4" t="s">
        <v>88</v>
      </c>
      <c r="AJ1" s="121"/>
      <c r="AK1" s="121"/>
    </row>
    <row r="2" spans="1:50">
      <c r="A2" s="5" t="s">
        <v>4</v>
      </c>
      <c r="D2" s="6">
        <v>2.4</v>
      </c>
      <c r="E2" s="13" t="s">
        <v>0</v>
      </c>
      <c r="H2" s="5" t="s">
        <v>30</v>
      </c>
      <c r="I2" s="6"/>
      <c r="J2" s="1">
        <v>70</v>
      </c>
      <c r="K2" s="7" t="s">
        <v>33</v>
      </c>
      <c r="M2" s="5" t="s">
        <v>49</v>
      </c>
      <c r="N2" s="3">
        <v>1.5</v>
      </c>
      <c r="O2" s="7" t="s">
        <v>51</v>
      </c>
      <c r="P2" s="7"/>
      <c r="X2" s="2"/>
      <c r="Y2" s="2"/>
      <c r="Z2" s="2"/>
      <c r="AI2" s="5" t="s">
        <v>49</v>
      </c>
      <c r="AJ2" s="3">
        <v>1.5</v>
      </c>
      <c r="AK2" s="45" t="s">
        <v>51</v>
      </c>
    </row>
    <row r="3" spans="1:50">
      <c r="A3" s="5" t="s">
        <v>5</v>
      </c>
      <c r="D3" s="6">
        <v>7.85</v>
      </c>
      <c r="E3" s="13" t="s">
        <v>0</v>
      </c>
      <c r="H3" s="5" t="s">
        <v>32</v>
      </c>
      <c r="I3" s="6"/>
      <c r="J3" s="1">
        <v>12</v>
      </c>
      <c r="K3" s="7" t="s">
        <v>33</v>
      </c>
      <c r="M3" s="5" t="s">
        <v>50</v>
      </c>
      <c r="N3" s="3">
        <v>1.8</v>
      </c>
      <c r="O3" s="7" t="s">
        <v>52</v>
      </c>
      <c r="P3" s="7"/>
      <c r="X3" s="2"/>
      <c r="Y3" s="2"/>
      <c r="Z3" s="2"/>
      <c r="AI3" s="5" t="s">
        <v>50</v>
      </c>
      <c r="AJ3" s="3">
        <v>1.8</v>
      </c>
      <c r="AK3" s="45" t="s">
        <v>52</v>
      </c>
    </row>
    <row r="4" spans="1:50">
      <c r="A4" s="5" t="s">
        <v>6</v>
      </c>
      <c r="D4" s="6">
        <v>1.8</v>
      </c>
      <c r="E4" s="13" t="s">
        <v>0</v>
      </c>
      <c r="H4" s="5" t="s">
        <v>31</v>
      </c>
      <c r="I4" s="6"/>
      <c r="J4" s="1">
        <v>250</v>
      </c>
      <c r="K4" s="7" t="s">
        <v>33</v>
      </c>
      <c r="M4" s="5" t="s">
        <v>63</v>
      </c>
      <c r="N4" s="3">
        <v>3</v>
      </c>
      <c r="O4" s="7" t="s">
        <v>64</v>
      </c>
      <c r="X4" s="2"/>
      <c r="Y4" s="2"/>
      <c r="Z4" s="2"/>
      <c r="AI4" s="5" t="s">
        <v>63</v>
      </c>
      <c r="AJ4" s="3">
        <v>3</v>
      </c>
      <c r="AK4" s="45" t="s">
        <v>64</v>
      </c>
    </row>
    <row r="5" spans="1:50">
      <c r="A5" s="5" t="s">
        <v>34</v>
      </c>
      <c r="D5" s="6">
        <v>0.56999999999999995</v>
      </c>
      <c r="E5" s="5"/>
      <c r="H5" s="5" t="s">
        <v>91</v>
      </c>
      <c r="I5" s="6"/>
      <c r="J5" s="43">
        <v>0.88800000000000001</v>
      </c>
      <c r="K5" s="45" t="s">
        <v>92</v>
      </c>
      <c r="X5" s="2"/>
      <c r="Y5" s="2"/>
      <c r="Z5" s="2"/>
    </row>
    <row r="6" spans="1:50">
      <c r="A6" s="5" t="s">
        <v>123</v>
      </c>
      <c r="D6" s="6">
        <f>+D7*D8</f>
        <v>10</v>
      </c>
      <c r="E6" s="13" t="s">
        <v>1</v>
      </c>
      <c r="F6" s="41"/>
      <c r="G6" s="45"/>
      <c r="H6" s="8"/>
      <c r="I6" s="6"/>
      <c r="J6" s="1"/>
      <c r="X6" s="2"/>
      <c r="Y6" s="2"/>
      <c r="Z6" s="2"/>
    </row>
    <row r="7" spans="1:50" s="42" customFormat="1">
      <c r="A7" s="5" t="s">
        <v>131</v>
      </c>
      <c r="D7" s="44">
        <v>20</v>
      </c>
      <c r="E7" s="13" t="s">
        <v>1</v>
      </c>
      <c r="F7" s="88" t="s">
        <v>130</v>
      </c>
      <c r="G7" s="88"/>
      <c r="H7" s="89"/>
      <c r="I7" s="90"/>
      <c r="J7" s="91"/>
      <c r="X7" s="2"/>
      <c r="Y7" s="2"/>
      <c r="Z7" s="2"/>
    </row>
    <row r="8" spans="1:50" s="42" customFormat="1">
      <c r="A8" s="5" t="s">
        <v>129</v>
      </c>
      <c r="D8" s="44">
        <v>0.5</v>
      </c>
      <c r="E8" s="13"/>
      <c r="F8" s="45"/>
      <c r="G8" s="45"/>
      <c r="H8" s="8"/>
      <c r="I8" s="44"/>
      <c r="J8" s="43"/>
      <c r="X8" s="2"/>
      <c r="Y8" s="2"/>
      <c r="Z8" s="2"/>
    </row>
    <row r="9" spans="1:50">
      <c r="A9" s="5" t="s">
        <v>69</v>
      </c>
      <c r="D9" s="6">
        <v>1</v>
      </c>
      <c r="E9" s="13" t="s">
        <v>47</v>
      </c>
      <c r="H9" s="8"/>
      <c r="I9" s="6"/>
      <c r="J9" s="1"/>
      <c r="X9" s="2"/>
      <c r="Y9" s="2"/>
      <c r="Z9" s="2"/>
    </row>
    <row r="10" spans="1:50">
      <c r="A10" s="5"/>
      <c r="E10" s="1"/>
      <c r="H10" s="8"/>
      <c r="I10" s="6"/>
      <c r="J10" s="1"/>
      <c r="X10" s="2"/>
      <c r="Y10" s="2"/>
      <c r="Z10" s="2"/>
    </row>
    <row r="11" spans="1:50">
      <c r="A11" s="5" t="s">
        <v>37</v>
      </c>
      <c r="B11" s="7" t="s">
        <v>2</v>
      </c>
      <c r="D11" s="6"/>
      <c r="E11" s="1"/>
      <c r="H11" s="1"/>
      <c r="I11" s="6"/>
      <c r="J11" s="6"/>
      <c r="K11" s="6"/>
      <c r="L11" s="6"/>
      <c r="M11" s="6"/>
      <c r="N11" s="6"/>
      <c r="O11" s="6"/>
      <c r="P11" s="6"/>
      <c r="Q11" s="6"/>
      <c r="R11" s="6"/>
      <c r="S11" s="44"/>
      <c r="T11" s="6"/>
      <c r="U11" s="44"/>
      <c r="V11" s="6"/>
      <c r="X11" s="6"/>
      <c r="Y11" s="44"/>
      <c r="Z11" s="44"/>
      <c r="AA11" s="6"/>
      <c r="AB11" s="1"/>
      <c r="AC11" s="1"/>
      <c r="AD11" s="1"/>
      <c r="AE11" s="1"/>
    </row>
    <row r="12" spans="1:50">
      <c r="A12" s="5" t="s">
        <v>38</v>
      </c>
      <c r="B12" s="7" t="s">
        <v>3</v>
      </c>
      <c r="D12" s="6"/>
      <c r="E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44"/>
      <c r="T12" s="6"/>
      <c r="U12" s="44"/>
      <c r="V12" s="6"/>
      <c r="X12" s="6"/>
      <c r="Y12" s="44"/>
      <c r="Z12" s="44"/>
      <c r="AA12" s="6"/>
      <c r="AB12" s="1"/>
      <c r="AC12" s="1"/>
      <c r="AD12" s="1"/>
      <c r="AE12" s="1"/>
    </row>
    <row r="13" spans="1:50">
      <c r="A13" s="5" t="s">
        <v>39</v>
      </c>
      <c r="B13" s="7" t="s">
        <v>40</v>
      </c>
      <c r="D13" s="6"/>
      <c r="E13" s="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44"/>
      <c r="T13" s="6"/>
      <c r="U13" s="44"/>
      <c r="V13" s="6"/>
      <c r="X13" s="6"/>
      <c r="Y13" s="44"/>
      <c r="Z13" s="44"/>
      <c r="AA13" s="6"/>
      <c r="AB13" s="1"/>
      <c r="AC13" s="1"/>
      <c r="AD13" s="1"/>
      <c r="AE13" s="1"/>
    </row>
    <row r="14" spans="1:50">
      <c r="A14" s="5" t="s">
        <v>41</v>
      </c>
      <c r="B14" s="7" t="s">
        <v>42</v>
      </c>
      <c r="D14" s="6"/>
      <c r="E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4"/>
      <c r="T14" s="6"/>
      <c r="U14" s="44"/>
      <c r="V14" s="6"/>
      <c r="X14" s="6"/>
      <c r="Y14" s="44"/>
      <c r="Z14" s="44"/>
      <c r="AA14" s="6"/>
      <c r="AB14" s="1"/>
      <c r="AC14" s="1"/>
      <c r="AD14" s="1"/>
      <c r="AE14" s="1"/>
    </row>
    <row r="15" spans="1:50" ht="15" customHeight="1">
      <c r="A15" s="40"/>
      <c r="B15" s="40"/>
      <c r="C15" s="40"/>
      <c r="D15" s="40"/>
      <c r="E15" s="132" t="s">
        <v>132</v>
      </c>
      <c r="F15" s="132"/>
      <c r="G15" s="132"/>
      <c r="H15" s="132"/>
      <c r="I15" s="132"/>
      <c r="J15" s="132"/>
      <c r="K15" s="132"/>
      <c r="L15" s="132"/>
      <c r="M15" s="131" t="s">
        <v>57</v>
      </c>
      <c r="N15" s="131"/>
      <c r="O15" s="131"/>
      <c r="P15" s="132" t="s">
        <v>27</v>
      </c>
      <c r="Q15" s="132"/>
      <c r="R15" s="132"/>
      <c r="S15" s="132"/>
      <c r="T15" s="132" t="s">
        <v>43</v>
      </c>
      <c r="U15" s="132"/>
      <c r="V15" s="132"/>
      <c r="W15" s="132"/>
      <c r="X15" s="132" t="s">
        <v>44</v>
      </c>
      <c r="Y15" s="132"/>
      <c r="Z15" s="132"/>
      <c r="AA15" s="132"/>
      <c r="AB15" s="133" t="s">
        <v>136</v>
      </c>
      <c r="AC15" s="134"/>
      <c r="AD15" s="36" t="s">
        <v>45</v>
      </c>
      <c r="AE15" s="132" t="s">
        <v>48</v>
      </c>
      <c r="AF15" s="132"/>
      <c r="AG15" s="132"/>
      <c r="AH15" s="136"/>
      <c r="AI15" s="132" t="s">
        <v>133</v>
      </c>
      <c r="AJ15" s="132"/>
      <c r="AK15" s="132"/>
      <c r="AL15" s="132"/>
      <c r="AM15" s="132"/>
      <c r="AN15" s="132"/>
      <c r="AU15" s="130"/>
      <c r="AV15" s="130"/>
      <c r="AW15" s="130"/>
      <c r="AX15" s="130"/>
    </row>
    <row r="16" spans="1:50" ht="20.25" customHeight="1">
      <c r="A16" s="29" t="s">
        <v>7</v>
      </c>
      <c r="B16" s="9" t="s">
        <v>14</v>
      </c>
      <c r="C16" s="29" t="s">
        <v>15</v>
      </c>
      <c r="D16" s="79" t="s">
        <v>8</v>
      </c>
      <c r="E16" s="62" t="s">
        <v>97</v>
      </c>
      <c r="F16" s="79" t="s">
        <v>19</v>
      </c>
      <c r="G16" s="79" t="s">
        <v>89</v>
      </c>
      <c r="H16" s="79" t="s">
        <v>81</v>
      </c>
      <c r="I16" s="47" t="s">
        <v>21</v>
      </c>
      <c r="J16" s="28" t="s">
        <v>20</v>
      </c>
      <c r="K16" s="79" t="s">
        <v>22</v>
      </c>
      <c r="L16" s="94" t="s">
        <v>61</v>
      </c>
      <c r="M16" s="79" t="s">
        <v>90</v>
      </c>
      <c r="N16" s="23" t="s">
        <v>60</v>
      </c>
      <c r="O16" s="16" t="s">
        <v>25</v>
      </c>
      <c r="P16" s="79" t="s">
        <v>20</v>
      </c>
      <c r="Q16" s="79" t="s">
        <v>28</v>
      </c>
      <c r="R16" s="79" t="s">
        <v>19</v>
      </c>
      <c r="S16" s="81" t="s">
        <v>58</v>
      </c>
      <c r="T16" s="22" t="s">
        <v>20</v>
      </c>
      <c r="U16" s="79" t="s">
        <v>28</v>
      </c>
      <c r="V16" s="79" t="s">
        <v>81</v>
      </c>
      <c r="W16" s="81" t="s">
        <v>82</v>
      </c>
      <c r="X16" s="28" t="s">
        <v>95</v>
      </c>
      <c r="Y16" s="46" t="s">
        <v>96</v>
      </c>
      <c r="Z16" s="28" t="s">
        <v>93</v>
      </c>
      <c r="AA16" s="81" t="s">
        <v>94</v>
      </c>
      <c r="AB16" s="79" t="s">
        <v>134</v>
      </c>
      <c r="AC16" s="80" t="s">
        <v>135</v>
      </c>
      <c r="AD16" s="22" t="s">
        <v>135</v>
      </c>
      <c r="AE16" s="22" t="s">
        <v>39</v>
      </c>
      <c r="AF16" s="46" t="s">
        <v>41</v>
      </c>
      <c r="AG16" s="46" t="s">
        <v>37</v>
      </c>
      <c r="AH16" s="46" t="s">
        <v>38</v>
      </c>
      <c r="AI16" s="137" t="s">
        <v>55</v>
      </c>
      <c r="AJ16" s="137"/>
      <c r="AK16" s="137" t="s">
        <v>56</v>
      </c>
      <c r="AL16" s="137"/>
      <c r="AM16" s="135" t="s">
        <v>62</v>
      </c>
      <c r="AN16" s="135"/>
    </row>
    <row r="17" spans="1:40">
      <c r="A17" s="15" t="s">
        <v>9</v>
      </c>
      <c r="B17" s="14" t="s">
        <v>10</v>
      </c>
      <c r="C17" s="15" t="s">
        <v>11</v>
      </c>
      <c r="D17" s="25" t="s">
        <v>12</v>
      </c>
      <c r="E17" s="62" t="s">
        <v>59</v>
      </c>
      <c r="F17" s="79" t="s">
        <v>16</v>
      </c>
      <c r="G17" s="79" t="s">
        <v>16</v>
      </c>
      <c r="H17" s="79" t="s">
        <v>16</v>
      </c>
      <c r="I17" s="79" t="s">
        <v>23</v>
      </c>
      <c r="J17" s="28" t="s">
        <v>16</v>
      </c>
      <c r="K17" s="25" t="s">
        <v>23</v>
      </c>
      <c r="L17" s="80" t="s">
        <v>24</v>
      </c>
      <c r="M17" s="25" t="s">
        <v>24</v>
      </c>
      <c r="N17" s="25" t="s">
        <v>24</v>
      </c>
      <c r="O17" s="17" t="s">
        <v>12</v>
      </c>
      <c r="P17" s="25" t="s">
        <v>16</v>
      </c>
      <c r="Q17" s="25" t="s">
        <v>29</v>
      </c>
      <c r="R17" s="25" t="s">
        <v>16</v>
      </c>
      <c r="S17" s="17" t="s">
        <v>29</v>
      </c>
      <c r="T17" s="25" t="s">
        <v>16</v>
      </c>
      <c r="U17" s="25" t="s">
        <v>29</v>
      </c>
      <c r="V17" s="25" t="s">
        <v>16</v>
      </c>
      <c r="W17" s="17" t="s">
        <v>29</v>
      </c>
      <c r="X17" s="25" t="s">
        <v>16</v>
      </c>
      <c r="Y17" s="14" t="s">
        <v>29</v>
      </c>
      <c r="Z17" s="25" t="s">
        <v>16</v>
      </c>
      <c r="AA17" s="17" t="s">
        <v>29</v>
      </c>
      <c r="AB17" s="25" t="s">
        <v>16</v>
      </c>
      <c r="AC17" s="17" t="s">
        <v>12</v>
      </c>
      <c r="AD17" s="14" t="s">
        <v>12</v>
      </c>
      <c r="AE17" s="24" t="s">
        <v>12</v>
      </c>
      <c r="AF17" s="14" t="s">
        <v>12</v>
      </c>
      <c r="AG17" s="14" t="s">
        <v>12</v>
      </c>
      <c r="AH17" s="14" t="s">
        <v>12</v>
      </c>
      <c r="AI17" s="22" t="s">
        <v>53</v>
      </c>
      <c r="AJ17" s="81" t="s">
        <v>54</v>
      </c>
      <c r="AK17" s="22" t="s">
        <v>53</v>
      </c>
      <c r="AL17" s="81" t="s">
        <v>54</v>
      </c>
      <c r="AM17" s="95" t="s">
        <v>53</v>
      </c>
      <c r="AN17" s="61" t="s">
        <v>54</v>
      </c>
    </row>
    <row r="18" spans="1:40">
      <c r="A18" s="54">
        <v>90</v>
      </c>
      <c r="B18" s="10">
        <v>22.5</v>
      </c>
      <c r="C18" s="10">
        <v>10</v>
      </c>
      <c r="D18" s="27">
        <f>2*(C18/0.0001)*(PI()*(A18/1000)^2/4)*SIN(RADIANS(B18)/2)/1000</f>
        <v>0.24822220058509589</v>
      </c>
      <c r="E18" s="60">
        <v>2.5</v>
      </c>
      <c r="F18" s="55">
        <f t="shared" ref="F18:F25" si="0">+E18*(A18/1000)</f>
        <v>0.22499999999999998</v>
      </c>
      <c r="G18" s="55">
        <f t="shared" ref="G18:G25" si="1">+F18*COS(RADIANS(B18/2))</f>
        <v>0.22067668809072682</v>
      </c>
      <c r="H18" s="55">
        <f t="shared" ref="H18:H25" si="2">+F18*SIN(RADIANS(B18/2))*2</f>
        <v>8.7790644907257701E-2</v>
      </c>
      <c r="I18" s="55">
        <f>0.5*H18*G18</f>
        <v>9.6866743817413323E-3</v>
      </c>
      <c r="J18" s="73">
        <v>0.5</v>
      </c>
      <c r="K18" s="27">
        <f>+(F18*2+H18)*J18</f>
        <v>0.26889532245362885</v>
      </c>
      <c r="L18" s="50">
        <f>+I18*J18</f>
        <v>4.8433371908706661E-3</v>
      </c>
      <c r="M18" s="49">
        <f t="shared" ref="M18:M25" si="3">+PI()*(A18/1000)^2/4*(A18/1000)*RADIANS(B18)</f>
        <v>2.2484192526231692E-4</v>
      </c>
      <c r="N18" s="48">
        <f>+L18-M18</f>
        <v>4.6184952656083489E-3</v>
      </c>
      <c r="O18" s="63">
        <f>+N18*$D$2</f>
        <v>1.1084388637460037E-2</v>
      </c>
      <c r="P18" s="27">
        <f>+J18</f>
        <v>0.5</v>
      </c>
      <c r="Q18" s="27">
        <f t="shared" ref="Q18:Q25" si="4">+ROUND((F18-2*($J$2/1000))/($J$4/1000),0)+1</f>
        <v>1</v>
      </c>
      <c r="R18" s="27">
        <f t="shared" ref="R18:R25" si="5">+F18</f>
        <v>0.22499999999999998</v>
      </c>
      <c r="S18" s="18">
        <f>+ROUND((J18-2*($J$2/1000))/($J$4/1000),0)+1</f>
        <v>2</v>
      </c>
      <c r="T18" s="27">
        <f>+J18</f>
        <v>0.5</v>
      </c>
      <c r="U18" s="27">
        <f t="shared" ref="U18:U25" si="6">+ROUND((H18-2*($J$2/1000))/($J$4/1000),0)+1</f>
        <v>1</v>
      </c>
      <c r="V18" s="27">
        <f>+H18</f>
        <v>8.7790644907257701E-2</v>
      </c>
      <c r="W18" s="18">
        <f>+ROUND((J18-2*($J$2/1000))/($J$4/1000),0)+1</f>
        <v>2</v>
      </c>
      <c r="X18" s="27">
        <f t="shared" ref="X18:X25" si="7">+TAN(RADIANS(180-(B18)/2-90))*H18/4</f>
        <v>0.11033834404536336</v>
      </c>
      <c r="Y18" s="11">
        <f>+ROUND((H18-2*($J$2/1000))/($J$4/1000),0)+1</f>
        <v>1</v>
      </c>
      <c r="Z18" s="27">
        <f t="shared" ref="Z18:Z25" si="8">+H18/2</f>
        <v>4.389532245362885E-2</v>
      </c>
      <c r="AA18" s="18">
        <f t="shared" ref="AA18:AA25" si="9">+ROUND((G18-2*($J$2/1000))/($J$4/1000),0)+1</f>
        <v>1</v>
      </c>
      <c r="AB18" s="27">
        <f>+(P18*Q18+R18*S18)*2+(T18*U18+V18*W18)+(X18*Y18+Z18*AA18)*2</f>
        <v>2.8840486228124997</v>
      </c>
      <c r="AC18" s="50">
        <f>+AB18*$J$5/1000</f>
        <v>2.5610351770574999E-3</v>
      </c>
      <c r="AD18" s="64">
        <f>+O18+AC18</f>
        <v>1.3645423814517537E-2</v>
      </c>
      <c r="AE18" s="27">
        <f>+AD18</f>
        <v>1.3645423814517537E-2</v>
      </c>
      <c r="AF18" s="11">
        <f t="shared" ref="AF18:AF25" si="10">+I18*($D$9-(J18/2-A18/2000))*$D$4</f>
        <v>1.3861631040271846E-2</v>
      </c>
      <c r="AG18" s="11">
        <f>+$D$5*(AE18+AF18)</f>
        <v>1.5679021267229944E-2</v>
      </c>
      <c r="AH18" s="18">
        <f>+(J18*H18)*$D$6</f>
        <v>0.43895322453628849</v>
      </c>
      <c r="AI18" s="27">
        <f t="shared" ref="AI18:AI25" si="11">+(AG18+AH18)/D18</f>
        <v>1.8315535223355686</v>
      </c>
      <c r="AJ18" s="18" t="str">
        <f>+IF(AI18&gt;$N$2,"CUMPLE",IF(AI18=$N$2,"CUMPLE","NO CUMPLE"))</f>
        <v>CUMPLE</v>
      </c>
      <c r="AK18" s="26">
        <f t="shared" ref="AK18:AK25" si="12">+(AE18*G18/2+AF18*G18/2+AH18*J18/2)/(D18*J18/2)</f>
        <v>1.8172973851733045</v>
      </c>
      <c r="AL18" s="18" t="str">
        <f>+IF(AK18&gt;$N$3,"CUMPLE",IF(AK18=$N$3,"CUMPLE","NO CUMPLE"))</f>
        <v>CUMPLE</v>
      </c>
      <c r="AM18" s="92">
        <f>+$D$7/((AE18+AF18)/I18)</f>
        <v>7.0430472712383025</v>
      </c>
      <c r="AN18" s="56" t="str">
        <f>+IF(AM18&gt;$N$4,"CUMPLE",IF(AM18=$N$4,"CUMPLE","NO CUMPLE"))</f>
        <v>CUMPLE</v>
      </c>
    </row>
    <row r="19" spans="1:40">
      <c r="A19" s="54">
        <v>110</v>
      </c>
      <c r="B19" s="10">
        <v>22.5</v>
      </c>
      <c r="C19" s="10">
        <v>10</v>
      </c>
      <c r="D19" s="27">
        <f t="shared" ref="D19:D25" si="13">2*(C19/0.0001)*(PI()*(A19/1000)^2/4)*SIN(RADIANS(B19)/2)/1000</f>
        <v>0.37080106507156302</v>
      </c>
      <c r="E19" s="60">
        <v>3</v>
      </c>
      <c r="F19" s="55">
        <f t="shared" si="0"/>
        <v>0.33</v>
      </c>
      <c r="G19" s="55">
        <f t="shared" si="1"/>
        <v>0.32365914253306605</v>
      </c>
      <c r="H19" s="55">
        <f t="shared" si="2"/>
        <v>0.12875961253064466</v>
      </c>
      <c r="I19" s="55">
        <f t="shared" ref="I19:I25" si="14">0.5*H19*G19</f>
        <v>2.0837112892279137E-2</v>
      </c>
      <c r="J19" s="73">
        <v>0.5</v>
      </c>
      <c r="K19" s="27">
        <f t="shared" ref="K19:K25" si="15">+(F19*2+H19)*J19</f>
        <v>0.39437980626532232</v>
      </c>
      <c r="L19" s="50">
        <f t="shared" ref="L19:L25" si="16">+I19*J19</f>
        <v>1.0418556446139569E-2</v>
      </c>
      <c r="M19" s="49">
        <f t="shared" si="3"/>
        <v>4.1051385805781045E-4</v>
      </c>
      <c r="N19" s="48">
        <f t="shared" ref="N19:N25" si="17">+L19-M19</f>
        <v>1.0008042588081759E-2</v>
      </c>
      <c r="O19" s="63">
        <f t="shared" ref="O19:O25" si="18">+N19*$D$2</f>
        <v>2.4019302211396219E-2</v>
      </c>
      <c r="P19" s="27">
        <f t="shared" ref="P19:P25" si="19">+J19</f>
        <v>0.5</v>
      </c>
      <c r="Q19" s="27">
        <f t="shared" si="4"/>
        <v>2</v>
      </c>
      <c r="R19" s="27">
        <f t="shared" si="5"/>
        <v>0.33</v>
      </c>
      <c r="S19" s="18">
        <f t="shared" ref="S19:S25" si="20">+ROUND((J19-2*($J$2/1000))/($J$4/1000),0)+1</f>
        <v>2</v>
      </c>
      <c r="T19" s="27">
        <f t="shared" ref="T19:T25" si="21">+J19</f>
        <v>0.5</v>
      </c>
      <c r="U19" s="27">
        <f t="shared" si="6"/>
        <v>1</v>
      </c>
      <c r="V19" s="27">
        <f t="shared" ref="V19:V25" si="22">+H19</f>
        <v>0.12875961253064466</v>
      </c>
      <c r="W19" s="18">
        <f t="shared" ref="W19:W25" si="23">+ROUND((J19-2*($J$2/1000))/($J$4/1000),0)+1</f>
        <v>2</v>
      </c>
      <c r="X19" s="27">
        <f t="shared" si="7"/>
        <v>0.16182957126653297</v>
      </c>
      <c r="Y19" s="11">
        <f t="shared" ref="Y19:Y25" si="24">+ROUND((H19-2*($J$2/1000))/($J$4/1000),0)+1</f>
        <v>1</v>
      </c>
      <c r="Z19" s="27">
        <f t="shared" si="8"/>
        <v>6.4379806265322331E-2</v>
      </c>
      <c r="AA19" s="18">
        <f t="shared" si="9"/>
        <v>2</v>
      </c>
      <c r="AB19" s="27">
        <f t="shared" ref="AB19:AB25" si="25">+(P19*Q19+R19*S19)*2+(T19*U19+V19*W19)+(X19*Y19+Z19*AA19)*2</f>
        <v>4.6586975926556446</v>
      </c>
      <c r="AC19" s="50">
        <f t="shared" ref="AC19:AC25" si="26">+AB19*$J$5/1000</f>
        <v>4.1369234622782129E-3</v>
      </c>
      <c r="AD19" s="64">
        <f t="shared" ref="AD19:AD25" si="27">+O19+AC19</f>
        <v>2.8156225673674432E-2</v>
      </c>
      <c r="AE19" s="27">
        <f t="shared" ref="AE19:AE25" si="28">+AD19</f>
        <v>2.8156225673674432E-2</v>
      </c>
      <c r="AF19" s="11">
        <f t="shared" si="10"/>
        <v>3.0192976580912471E-2</v>
      </c>
      <c r="AG19" s="11">
        <f t="shared" ref="AG19:AG25" si="29">+$D$5*(AE19+AF19)</f>
        <v>3.325904528511453E-2</v>
      </c>
      <c r="AH19" s="18">
        <f t="shared" ref="AH19:AH25" si="30">+(J19*H19)*$D$6</f>
        <v>0.64379806265322337</v>
      </c>
      <c r="AI19" s="27">
        <f t="shared" si="11"/>
        <v>1.8259308608179665</v>
      </c>
      <c r="AJ19" s="18" t="str">
        <f t="shared" ref="AJ19:AJ25" si="31">+IF(AI19&gt;$N$2,"CUMPLE",IF(AI19=$N$2,"CUMPLE","NO CUMPLE"))</f>
        <v>CUMPLE</v>
      </c>
      <c r="AK19" s="26">
        <f t="shared" si="12"/>
        <v>1.8380976550326242</v>
      </c>
      <c r="AL19" s="18" t="str">
        <f t="shared" ref="AL19:AL25" si="32">+IF(AK19&gt;$N$3,"CUMPLE",IF(AK19=$N$3,"CUMPLE","NO CUMPLE"))</f>
        <v>CUMPLE</v>
      </c>
      <c r="AM19" s="92">
        <f t="shared" ref="AM19:AM25" si="33">+$D$7/((AE19+AF19)/I19)</f>
        <v>7.1422100344623329</v>
      </c>
      <c r="AN19" s="56" t="str">
        <f t="shared" ref="AN19:AN25" si="34">+IF(AM19&gt;$N$4,"CUMPLE",IF(AM19=$N$4,"CUMPLE","NO CUMPLE"))</f>
        <v>CUMPLE</v>
      </c>
    </row>
    <row r="20" spans="1:40">
      <c r="A20" s="54">
        <v>125</v>
      </c>
      <c r="B20" s="10">
        <v>22.5</v>
      </c>
      <c r="C20" s="10">
        <v>10</v>
      </c>
      <c r="D20" s="27">
        <f t="shared" si="13"/>
        <v>0.47882368940026215</v>
      </c>
      <c r="E20" s="60">
        <v>3</v>
      </c>
      <c r="F20" s="55">
        <f t="shared" si="0"/>
        <v>0.375</v>
      </c>
      <c r="G20" s="55">
        <f t="shared" si="1"/>
        <v>0.36779448015121141</v>
      </c>
      <c r="H20" s="55">
        <f t="shared" si="2"/>
        <v>0.1463177415120962</v>
      </c>
      <c r="I20" s="55">
        <f t="shared" si="14"/>
        <v>2.6907428838170374E-2</v>
      </c>
      <c r="J20" s="73">
        <v>0.6</v>
      </c>
      <c r="K20" s="27">
        <f t="shared" si="15"/>
        <v>0.5377906449072577</v>
      </c>
      <c r="L20" s="50">
        <f t="shared" si="16"/>
        <v>1.6144457302902225E-2</v>
      </c>
      <c r="M20" s="49">
        <f t="shared" si="3"/>
        <v>6.0239284674617664E-4</v>
      </c>
      <c r="N20" s="48">
        <f t="shared" si="17"/>
        <v>1.5542064456156048E-2</v>
      </c>
      <c r="O20" s="63">
        <f t="shared" si="18"/>
        <v>3.7300954694774513E-2</v>
      </c>
      <c r="P20" s="27">
        <f t="shared" si="19"/>
        <v>0.6</v>
      </c>
      <c r="Q20" s="27">
        <f t="shared" si="4"/>
        <v>2</v>
      </c>
      <c r="R20" s="27">
        <f t="shared" si="5"/>
        <v>0.375</v>
      </c>
      <c r="S20" s="18">
        <f t="shared" si="20"/>
        <v>3</v>
      </c>
      <c r="T20" s="27">
        <f t="shared" si="21"/>
        <v>0.6</v>
      </c>
      <c r="U20" s="27">
        <f t="shared" si="6"/>
        <v>1</v>
      </c>
      <c r="V20" s="27">
        <f t="shared" si="22"/>
        <v>0.1463177415120962</v>
      </c>
      <c r="W20" s="18">
        <f t="shared" si="23"/>
        <v>3</v>
      </c>
      <c r="X20" s="27">
        <f t="shared" si="7"/>
        <v>0.18389724007560565</v>
      </c>
      <c r="Y20" s="11">
        <f t="shared" si="24"/>
        <v>1</v>
      </c>
      <c r="Z20" s="27">
        <f t="shared" si="8"/>
        <v>7.31588707560481E-2</v>
      </c>
      <c r="AA20" s="18">
        <f t="shared" si="9"/>
        <v>2</v>
      </c>
      <c r="AB20" s="27">
        <f t="shared" si="25"/>
        <v>6.3493831877116929</v>
      </c>
      <c r="AC20" s="50">
        <f t="shared" si="26"/>
        <v>5.638252270687984E-3</v>
      </c>
      <c r="AD20" s="64">
        <f t="shared" si="27"/>
        <v>4.2939206965462495E-2</v>
      </c>
      <c r="AE20" s="27">
        <f t="shared" si="28"/>
        <v>4.2939206965462495E-2</v>
      </c>
      <c r="AF20" s="11">
        <f t="shared" si="10"/>
        <v>3.693044608038884E-2</v>
      </c>
      <c r="AG20" s="11">
        <f t="shared" si="29"/>
        <v>4.5525702236135258E-2</v>
      </c>
      <c r="AH20" s="18">
        <f t="shared" si="30"/>
        <v>0.8779064490725772</v>
      </c>
      <c r="AI20" s="27">
        <f t="shared" si="11"/>
        <v>1.9285431605636154</v>
      </c>
      <c r="AJ20" s="18" t="str">
        <f t="shared" si="31"/>
        <v>CUMPLE</v>
      </c>
      <c r="AK20" s="26">
        <f t="shared" si="12"/>
        <v>1.9357141931927506</v>
      </c>
      <c r="AL20" s="18" t="str">
        <f t="shared" si="32"/>
        <v>CUMPLE</v>
      </c>
      <c r="AM20" s="92">
        <f t="shared" si="33"/>
        <v>6.737835413589047</v>
      </c>
      <c r="AN20" s="56" t="str">
        <f t="shared" si="34"/>
        <v>CUMPLE</v>
      </c>
    </row>
    <row r="21" spans="1:40">
      <c r="A21" s="54">
        <v>140</v>
      </c>
      <c r="B21" s="10">
        <v>22.5</v>
      </c>
      <c r="C21" s="10">
        <v>10</v>
      </c>
      <c r="D21" s="27">
        <f t="shared" si="13"/>
        <v>0.60063643598368899</v>
      </c>
      <c r="E21" s="60">
        <v>3.5</v>
      </c>
      <c r="F21" s="55">
        <f t="shared" si="0"/>
        <v>0.49000000000000005</v>
      </c>
      <c r="G21" s="55">
        <f t="shared" si="1"/>
        <v>0.48058478739758298</v>
      </c>
      <c r="H21" s="55">
        <f t="shared" si="2"/>
        <v>0.19118851557580571</v>
      </c>
      <c r="I21" s="55">
        <f t="shared" si="14"/>
        <v>4.5941146055429039E-2</v>
      </c>
      <c r="J21" s="73">
        <v>0.6</v>
      </c>
      <c r="K21" s="27">
        <f t="shared" si="15"/>
        <v>0.70271310934548337</v>
      </c>
      <c r="L21" s="50">
        <f t="shared" si="16"/>
        <v>2.7564687633257423E-2</v>
      </c>
      <c r="M21" s="49">
        <f t="shared" si="3"/>
        <v>8.4631857739341258E-4</v>
      </c>
      <c r="N21" s="48">
        <f t="shared" si="17"/>
        <v>2.671836905586401E-2</v>
      </c>
      <c r="O21" s="63">
        <f t="shared" si="18"/>
        <v>6.4124085734073619E-2</v>
      </c>
      <c r="P21" s="27">
        <f t="shared" si="19"/>
        <v>0.6</v>
      </c>
      <c r="Q21" s="27">
        <f t="shared" si="4"/>
        <v>2</v>
      </c>
      <c r="R21" s="27">
        <f t="shared" si="5"/>
        <v>0.49000000000000005</v>
      </c>
      <c r="S21" s="18">
        <f t="shared" si="20"/>
        <v>3</v>
      </c>
      <c r="T21" s="27">
        <f t="shared" si="21"/>
        <v>0.6</v>
      </c>
      <c r="U21" s="27">
        <f t="shared" si="6"/>
        <v>1</v>
      </c>
      <c r="V21" s="27">
        <f t="shared" si="22"/>
        <v>0.19118851557580571</v>
      </c>
      <c r="W21" s="18">
        <f t="shared" si="23"/>
        <v>3</v>
      </c>
      <c r="X21" s="27">
        <f t="shared" si="7"/>
        <v>0.24029239369879138</v>
      </c>
      <c r="Y21" s="11">
        <f t="shared" si="24"/>
        <v>1</v>
      </c>
      <c r="Z21" s="27">
        <f t="shared" si="8"/>
        <v>9.5594257787902856E-2</v>
      </c>
      <c r="AA21" s="18">
        <f t="shared" si="9"/>
        <v>2</v>
      </c>
      <c r="AB21" s="27">
        <f t="shared" si="25"/>
        <v>7.376527365276611</v>
      </c>
      <c r="AC21" s="50">
        <f t="shared" si="26"/>
        <v>6.550356300365631E-3</v>
      </c>
      <c r="AD21" s="64">
        <f t="shared" si="27"/>
        <v>7.0674442034439247E-2</v>
      </c>
      <c r="AE21" s="27">
        <f t="shared" si="28"/>
        <v>7.0674442034439247E-2</v>
      </c>
      <c r="AF21" s="11">
        <f t="shared" si="10"/>
        <v>6.3674428432824656E-2</v>
      </c>
      <c r="AG21" s="11">
        <f t="shared" si="29"/>
        <v>7.6578856166340414E-2</v>
      </c>
      <c r="AH21" s="18">
        <f t="shared" si="30"/>
        <v>1.1471310934548342</v>
      </c>
      <c r="AI21" s="27">
        <f t="shared" si="11"/>
        <v>2.0373555054432395</v>
      </c>
      <c r="AJ21" s="18" t="str">
        <f t="shared" si="31"/>
        <v>CUMPLE</v>
      </c>
      <c r="AK21" s="26">
        <f t="shared" si="12"/>
        <v>2.0890193421542622</v>
      </c>
      <c r="AL21" s="18" t="str">
        <f t="shared" si="32"/>
        <v>CUMPLE</v>
      </c>
      <c r="AM21" s="92">
        <f t="shared" si="33"/>
        <v>6.8390818464861267</v>
      </c>
      <c r="AN21" s="56" t="str">
        <f t="shared" si="34"/>
        <v>CUMPLE</v>
      </c>
    </row>
    <row r="22" spans="1:40">
      <c r="A22" s="54">
        <v>160</v>
      </c>
      <c r="B22" s="10">
        <v>22.5</v>
      </c>
      <c r="C22" s="10">
        <v>10</v>
      </c>
      <c r="D22" s="27">
        <f t="shared" si="13"/>
        <v>0.78450473271338961</v>
      </c>
      <c r="E22" s="60">
        <v>3.5</v>
      </c>
      <c r="F22" s="55">
        <f t="shared" si="0"/>
        <v>0.56000000000000005</v>
      </c>
      <c r="G22" s="55">
        <f t="shared" si="1"/>
        <v>0.54923975702580907</v>
      </c>
      <c r="H22" s="55">
        <f t="shared" si="2"/>
        <v>0.21850116065806366</v>
      </c>
      <c r="I22" s="55">
        <f t="shared" si="14"/>
        <v>6.000476219484608E-2</v>
      </c>
      <c r="J22" s="73">
        <v>0.7</v>
      </c>
      <c r="K22" s="27">
        <f t="shared" si="15"/>
        <v>0.93695081246064449</v>
      </c>
      <c r="L22" s="50">
        <f t="shared" si="16"/>
        <v>4.2003333536392254E-2</v>
      </c>
      <c r="M22" s="49">
        <f t="shared" si="3"/>
        <v>1.263309363339438E-3</v>
      </c>
      <c r="N22" s="48">
        <f t="shared" si="17"/>
        <v>4.0740024173052815E-2</v>
      </c>
      <c r="O22" s="63">
        <f t="shared" si="18"/>
        <v>9.7776058015326753E-2</v>
      </c>
      <c r="P22" s="27">
        <f t="shared" si="19"/>
        <v>0.7</v>
      </c>
      <c r="Q22" s="27">
        <f t="shared" si="4"/>
        <v>3</v>
      </c>
      <c r="R22" s="27">
        <f t="shared" si="5"/>
        <v>0.56000000000000005</v>
      </c>
      <c r="S22" s="18">
        <f t="shared" si="20"/>
        <v>3</v>
      </c>
      <c r="T22" s="27">
        <f t="shared" si="21"/>
        <v>0.7</v>
      </c>
      <c r="U22" s="27">
        <f t="shared" si="6"/>
        <v>1</v>
      </c>
      <c r="V22" s="27">
        <f t="shared" si="22"/>
        <v>0.21850116065806366</v>
      </c>
      <c r="W22" s="18">
        <f t="shared" si="23"/>
        <v>3</v>
      </c>
      <c r="X22" s="27">
        <f t="shared" si="7"/>
        <v>0.27461987851290443</v>
      </c>
      <c r="Y22" s="11">
        <f t="shared" si="24"/>
        <v>1</v>
      </c>
      <c r="Z22" s="27">
        <f t="shared" si="8"/>
        <v>0.10925058032903183</v>
      </c>
      <c r="AA22" s="18">
        <f t="shared" si="9"/>
        <v>3</v>
      </c>
      <c r="AB22" s="27">
        <f t="shared" si="25"/>
        <v>10.12024672097419</v>
      </c>
      <c r="AC22" s="50">
        <f t="shared" si="26"/>
        <v>8.9867790882250803E-3</v>
      </c>
      <c r="AD22" s="64">
        <f t="shared" si="27"/>
        <v>0.10676283710355183</v>
      </c>
      <c r="AE22" s="27">
        <f t="shared" si="28"/>
        <v>0.10676283710355183</v>
      </c>
      <c r="AF22" s="11">
        <f t="shared" si="10"/>
        <v>7.8846257524027755E-2</v>
      </c>
      <c r="AG22" s="11">
        <f t="shared" si="29"/>
        <v>0.10579718393772035</v>
      </c>
      <c r="AH22" s="18">
        <f t="shared" si="30"/>
        <v>1.5295081246064455</v>
      </c>
      <c r="AI22" s="27">
        <f t="shared" si="11"/>
        <v>2.0845066197218305</v>
      </c>
      <c r="AJ22" s="18" t="str">
        <f t="shared" si="31"/>
        <v>CUMPLE</v>
      </c>
      <c r="AK22" s="26">
        <f t="shared" si="12"/>
        <v>2.1352863648742333</v>
      </c>
      <c r="AL22" s="18" t="str">
        <f t="shared" si="32"/>
        <v>CUMPLE</v>
      </c>
      <c r="AM22" s="92">
        <f t="shared" si="33"/>
        <v>6.4657135810337598</v>
      </c>
      <c r="AN22" s="56" t="str">
        <f t="shared" si="34"/>
        <v>CUMPLE</v>
      </c>
    </row>
    <row r="23" spans="1:40">
      <c r="A23" s="54">
        <v>200</v>
      </c>
      <c r="B23" s="10">
        <v>22.5</v>
      </c>
      <c r="C23" s="10">
        <v>10</v>
      </c>
      <c r="D23" s="27">
        <f t="shared" si="13"/>
        <v>1.2257886448646713</v>
      </c>
      <c r="E23" s="60">
        <v>4</v>
      </c>
      <c r="F23" s="55">
        <f t="shared" si="0"/>
        <v>0.8</v>
      </c>
      <c r="G23" s="55">
        <f t="shared" si="1"/>
        <v>0.78462822432258439</v>
      </c>
      <c r="H23" s="55">
        <f t="shared" si="2"/>
        <v>0.31214451522580522</v>
      </c>
      <c r="I23" s="55">
        <f t="shared" si="14"/>
        <v>0.12245869835682872</v>
      </c>
      <c r="J23" s="73">
        <v>0.7</v>
      </c>
      <c r="K23" s="27">
        <f t="shared" si="15"/>
        <v>1.3385011606580635</v>
      </c>
      <c r="L23" s="50">
        <f t="shared" si="16"/>
        <v>8.5721088849780108E-2</v>
      </c>
      <c r="M23" s="49">
        <f t="shared" si="3"/>
        <v>2.4674011002723401E-3</v>
      </c>
      <c r="N23" s="48">
        <f t="shared" si="17"/>
        <v>8.3253687749507768E-2</v>
      </c>
      <c r="O23" s="63">
        <f t="shared" si="18"/>
        <v>0.19980885059881864</v>
      </c>
      <c r="P23" s="27">
        <f t="shared" si="19"/>
        <v>0.7</v>
      </c>
      <c r="Q23" s="27">
        <f t="shared" si="4"/>
        <v>4</v>
      </c>
      <c r="R23" s="27">
        <f t="shared" si="5"/>
        <v>0.8</v>
      </c>
      <c r="S23" s="18">
        <f t="shared" si="20"/>
        <v>3</v>
      </c>
      <c r="T23" s="27">
        <f t="shared" si="21"/>
        <v>0.7</v>
      </c>
      <c r="U23" s="27">
        <f t="shared" si="6"/>
        <v>2</v>
      </c>
      <c r="V23" s="27">
        <f t="shared" si="22"/>
        <v>0.31214451522580522</v>
      </c>
      <c r="W23" s="18">
        <f t="shared" si="23"/>
        <v>3</v>
      </c>
      <c r="X23" s="27">
        <f t="shared" si="7"/>
        <v>0.39231411216129203</v>
      </c>
      <c r="Y23" s="11">
        <f t="shared" si="24"/>
        <v>2</v>
      </c>
      <c r="Z23" s="27">
        <f t="shared" si="8"/>
        <v>0.15607225761290261</v>
      </c>
      <c r="AA23" s="18">
        <f t="shared" si="9"/>
        <v>4</v>
      </c>
      <c r="AB23" s="27">
        <f t="shared" si="25"/>
        <v>15.554268055225805</v>
      </c>
      <c r="AC23" s="50">
        <f t="shared" si="26"/>
        <v>1.3812190033040515E-2</v>
      </c>
      <c r="AD23" s="64">
        <f t="shared" si="27"/>
        <v>0.21362104063185916</v>
      </c>
      <c r="AE23" s="27">
        <f t="shared" si="28"/>
        <v>0.21362104063185916</v>
      </c>
      <c r="AF23" s="11">
        <f t="shared" si="10"/>
        <v>0.16531924278171878</v>
      </c>
      <c r="AG23" s="11">
        <f t="shared" si="29"/>
        <v>0.21599596154573941</v>
      </c>
      <c r="AH23" s="18">
        <f t="shared" si="30"/>
        <v>2.1850116065806362</v>
      </c>
      <c r="AI23" s="27">
        <f t="shared" si="11"/>
        <v>1.9587451541382568</v>
      </c>
      <c r="AJ23" s="18" t="str">
        <f t="shared" si="31"/>
        <v>CUMPLE</v>
      </c>
      <c r="AK23" s="26">
        <f t="shared" si="12"/>
        <v>2.129049587741966</v>
      </c>
      <c r="AL23" s="18" t="str">
        <f t="shared" si="32"/>
        <v>CUMPLE</v>
      </c>
      <c r="AM23" s="92">
        <f t="shared" si="33"/>
        <v>6.4632188087101037</v>
      </c>
      <c r="AN23" s="56" t="str">
        <f t="shared" si="34"/>
        <v>CUMPLE</v>
      </c>
    </row>
    <row r="24" spans="1:40">
      <c r="A24" s="54">
        <v>225</v>
      </c>
      <c r="B24" s="10">
        <v>22.5</v>
      </c>
      <c r="C24" s="10">
        <v>10</v>
      </c>
      <c r="D24" s="27">
        <f t="shared" si="13"/>
        <v>1.5513887536568496</v>
      </c>
      <c r="E24" s="60">
        <v>4</v>
      </c>
      <c r="F24" s="55">
        <f t="shared" si="0"/>
        <v>0.9</v>
      </c>
      <c r="G24" s="55">
        <f t="shared" si="1"/>
        <v>0.88270675236290741</v>
      </c>
      <c r="H24" s="55">
        <f t="shared" si="2"/>
        <v>0.35116257962903086</v>
      </c>
      <c r="I24" s="55">
        <f t="shared" si="14"/>
        <v>0.15498679010786134</v>
      </c>
      <c r="J24" s="73">
        <v>0.7</v>
      </c>
      <c r="K24" s="27">
        <f t="shared" si="15"/>
        <v>1.5058138057403214</v>
      </c>
      <c r="L24" s="50">
        <f t="shared" si="16"/>
        <v>0.10849075307550293</v>
      </c>
      <c r="M24" s="49">
        <f t="shared" si="3"/>
        <v>3.5131550822237022E-3</v>
      </c>
      <c r="N24" s="48">
        <f t="shared" si="17"/>
        <v>0.10497759799327923</v>
      </c>
      <c r="O24" s="63">
        <f t="shared" si="18"/>
        <v>0.25194623518387016</v>
      </c>
      <c r="P24" s="27">
        <f t="shared" si="19"/>
        <v>0.7</v>
      </c>
      <c r="Q24" s="27">
        <f t="shared" si="4"/>
        <v>4</v>
      </c>
      <c r="R24" s="27">
        <f t="shared" si="5"/>
        <v>0.9</v>
      </c>
      <c r="S24" s="18">
        <f t="shared" si="20"/>
        <v>3</v>
      </c>
      <c r="T24" s="27">
        <f t="shared" si="21"/>
        <v>0.7</v>
      </c>
      <c r="U24" s="27">
        <f t="shared" si="6"/>
        <v>2</v>
      </c>
      <c r="V24" s="27">
        <f t="shared" si="22"/>
        <v>0.35116257962903086</v>
      </c>
      <c r="W24" s="18">
        <f t="shared" si="23"/>
        <v>3</v>
      </c>
      <c r="X24" s="27">
        <f t="shared" si="7"/>
        <v>0.44135337618145354</v>
      </c>
      <c r="Y24" s="11">
        <f t="shared" si="24"/>
        <v>2</v>
      </c>
      <c r="Z24" s="27">
        <f t="shared" si="8"/>
        <v>0.17558128981451543</v>
      </c>
      <c r="AA24" s="18">
        <f t="shared" si="9"/>
        <v>4</v>
      </c>
      <c r="AB24" s="27">
        <f t="shared" si="25"/>
        <v>16.62355156212903</v>
      </c>
      <c r="AC24" s="50">
        <f t="shared" si="26"/>
        <v>1.476171378717058E-2</v>
      </c>
      <c r="AD24" s="64">
        <f t="shared" si="27"/>
        <v>0.26670794897104072</v>
      </c>
      <c r="AE24" s="27">
        <f t="shared" si="28"/>
        <v>0.26670794897104072</v>
      </c>
      <c r="AF24" s="11">
        <f t="shared" si="10"/>
        <v>0.21271936942303971</v>
      </c>
      <c r="AG24" s="11">
        <f t="shared" si="29"/>
        <v>0.27327357148462583</v>
      </c>
      <c r="AH24" s="18">
        <f t="shared" si="30"/>
        <v>2.4581380574032159</v>
      </c>
      <c r="AI24" s="27">
        <f t="shared" si="11"/>
        <v>1.7606235848039418</v>
      </c>
      <c r="AJ24" s="18" t="str">
        <f t="shared" si="31"/>
        <v>CUMPLE</v>
      </c>
      <c r="AK24" s="26">
        <f t="shared" si="12"/>
        <v>1.974167031536362</v>
      </c>
      <c r="AL24" s="18" t="str">
        <f t="shared" si="32"/>
        <v>CUMPLE</v>
      </c>
      <c r="AM24" s="92">
        <f t="shared" si="33"/>
        <v>6.4654968192890943</v>
      </c>
      <c r="AN24" s="56" t="str">
        <f t="shared" si="34"/>
        <v>CUMPLE</v>
      </c>
    </row>
    <row r="25" spans="1:40">
      <c r="A25" s="54">
        <v>315</v>
      </c>
      <c r="B25" s="10">
        <v>22.5</v>
      </c>
      <c r="C25" s="10">
        <v>10</v>
      </c>
      <c r="D25" s="27">
        <f t="shared" si="13"/>
        <v>3.0407219571674249</v>
      </c>
      <c r="E25" s="60">
        <v>5</v>
      </c>
      <c r="F25" s="55">
        <f t="shared" si="0"/>
        <v>1.575</v>
      </c>
      <c r="G25" s="55">
        <f t="shared" si="1"/>
        <v>1.5447368166350879</v>
      </c>
      <c r="H25" s="55">
        <f t="shared" si="2"/>
        <v>0.61453451435080397</v>
      </c>
      <c r="I25" s="55">
        <f t="shared" si="14"/>
        <v>0.47464704470532532</v>
      </c>
      <c r="J25" s="73">
        <v>0.8</v>
      </c>
      <c r="K25" s="27">
        <f t="shared" si="15"/>
        <v>3.0116276114806433</v>
      </c>
      <c r="L25" s="50">
        <f t="shared" si="16"/>
        <v>0.37971763576426026</v>
      </c>
      <c r="M25" s="49">
        <f t="shared" si="3"/>
        <v>9.6400975456218396E-3</v>
      </c>
      <c r="N25" s="48">
        <f t="shared" si="17"/>
        <v>0.37007753821863842</v>
      </c>
      <c r="O25" s="63">
        <f t="shared" si="18"/>
        <v>0.88818609172473217</v>
      </c>
      <c r="P25" s="27">
        <f t="shared" si="19"/>
        <v>0.8</v>
      </c>
      <c r="Q25" s="27">
        <f t="shared" si="4"/>
        <v>7</v>
      </c>
      <c r="R25" s="27">
        <f t="shared" si="5"/>
        <v>1.575</v>
      </c>
      <c r="S25" s="18">
        <f t="shared" si="20"/>
        <v>4</v>
      </c>
      <c r="T25" s="27">
        <f t="shared" si="21"/>
        <v>0.8</v>
      </c>
      <c r="U25" s="27">
        <f t="shared" si="6"/>
        <v>3</v>
      </c>
      <c r="V25" s="27">
        <f t="shared" si="22"/>
        <v>0.61453451435080397</v>
      </c>
      <c r="W25" s="18">
        <f t="shared" si="23"/>
        <v>4</v>
      </c>
      <c r="X25" s="27">
        <f t="shared" si="7"/>
        <v>0.77236840831754361</v>
      </c>
      <c r="Y25" s="11">
        <f t="shared" si="24"/>
        <v>3</v>
      </c>
      <c r="Z25" s="27">
        <f t="shared" si="8"/>
        <v>0.30726725717540199</v>
      </c>
      <c r="AA25" s="18">
        <f t="shared" si="9"/>
        <v>7</v>
      </c>
      <c r="AB25" s="27">
        <f t="shared" si="25"/>
        <v>37.594090107764103</v>
      </c>
      <c r="AC25" s="50">
        <f t="shared" si="26"/>
        <v>3.3383552015694526E-2</v>
      </c>
      <c r="AD25" s="64">
        <f t="shared" si="27"/>
        <v>0.92156964374042671</v>
      </c>
      <c r="AE25" s="27">
        <f t="shared" si="28"/>
        <v>0.92156964374042671</v>
      </c>
      <c r="AF25" s="11">
        <f t="shared" si="10"/>
        <v>0.6471812454557111</v>
      </c>
      <c r="AG25" s="11">
        <f t="shared" si="29"/>
        <v>0.89418800684179844</v>
      </c>
      <c r="AH25" s="18">
        <f t="shared" si="30"/>
        <v>4.9162761148064318</v>
      </c>
      <c r="AI25" s="27">
        <f t="shared" si="11"/>
        <v>1.910883074314677</v>
      </c>
      <c r="AJ25" s="18" t="str">
        <f t="shared" si="31"/>
        <v>CUMPLE</v>
      </c>
      <c r="AK25" s="26">
        <f t="shared" si="12"/>
        <v>2.6130012197977606</v>
      </c>
      <c r="AL25" s="18" t="str">
        <f t="shared" si="32"/>
        <v>CUMPLE</v>
      </c>
      <c r="AM25" s="92">
        <f t="shared" si="33"/>
        <v>6.0512736339999122</v>
      </c>
      <c r="AN25" s="56" t="str">
        <f t="shared" si="34"/>
        <v>CUMPLE</v>
      </c>
    </row>
    <row r="26" spans="1:40">
      <c r="A26" s="166">
        <v>400</v>
      </c>
      <c r="B26" s="10">
        <v>22.5</v>
      </c>
      <c r="C26" s="10">
        <v>10</v>
      </c>
      <c r="D26" s="27">
        <f t="shared" ref="D26:D28" si="35">2*(C26/0.0001)*(PI()*(A26/1000)^2/4)*SIN(RADIANS(B26)/2)/1000</f>
        <v>4.9031545794586853</v>
      </c>
      <c r="E26" s="126">
        <v>5</v>
      </c>
      <c r="F26" s="55">
        <f t="shared" ref="F26:F28" si="36">+E26*(A26/1000)</f>
        <v>2</v>
      </c>
      <c r="G26" s="55">
        <f t="shared" ref="G26:G28" si="37">+F26*COS(RADIANS(B26/2))</f>
        <v>1.9615705608064609</v>
      </c>
      <c r="H26" s="55">
        <f t="shared" ref="H26:H28" si="38">+F26*SIN(RADIANS(B26/2))*2</f>
        <v>0.78036128806451299</v>
      </c>
      <c r="I26" s="55">
        <f t="shared" ref="I26:I28" si="39">0.5*H26*G26</f>
        <v>0.76536686473017945</v>
      </c>
      <c r="J26" s="73">
        <v>0.8</v>
      </c>
      <c r="K26" s="27">
        <f t="shared" ref="K26:K28" si="40">+(F26*2+H26)*J26</f>
        <v>3.8242890304516104</v>
      </c>
      <c r="L26" s="50">
        <f t="shared" ref="L26:L28" si="41">+I26*J26</f>
        <v>0.61229349178414361</v>
      </c>
      <c r="M26" s="49">
        <f t="shared" ref="M26:M28" si="42">+PI()*(A26/1000)^2/4*(A26/1000)*RADIANS(B26)</f>
        <v>1.973920880217872E-2</v>
      </c>
      <c r="N26" s="48">
        <f t="shared" ref="N26:N28" si="43">+L26-M26</f>
        <v>0.59255428298196489</v>
      </c>
      <c r="O26" s="63">
        <f t="shared" ref="O26:O28" si="44">+N26*$D$2</f>
        <v>1.4221302791567156</v>
      </c>
      <c r="P26" s="27">
        <f t="shared" ref="P26:P28" si="45">+J26</f>
        <v>0.8</v>
      </c>
      <c r="Q26" s="27">
        <f t="shared" ref="Q26:Q28" si="46">+ROUND((F26-2*($J$2/1000))/($J$4/1000),0)+1</f>
        <v>8</v>
      </c>
      <c r="R26" s="27">
        <f t="shared" ref="R26:R28" si="47">+F26</f>
        <v>2</v>
      </c>
      <c r="S26" s="18">
        <f t="shared" ref="S26:S28" si="48">+ROUND((J26-2*($J$2/1000))/($J$4/1000),0)+1</f>
        <v>4</v>
      </c>
      <c r="T26" s="27">
        <f t="shared" ref="T26:T28" si="49">+J26</f>
        <v>0.8</v>
      </c>
      <c r="U26" s="27">
        <f t="shared" ref="U26:U28" si="50">+ROUND((H26-2*($J$2/1000))/($J$4/1000),0)+1</f>
        <v>4</v>
      </c>
      <c r="V26" s="27">
        <f t="shared" ref="V26:V28" si="51">+H26</f>
        <v>0.78036128806451299</v>
      </c>
      <c r="W26" s="18">
        <f t="shared" ref="W26:W28" si="52">+ROUND((J26-2*($J$2/1000))/($J$4/1000),0)+1</f>
        <v>4</v>
      </c>
      <c r="X26" s="27">
        <f t="shared" ref="X26:X28" si="53">+TAN(RADIANS(180-(B26)/2-90))*H26/4</f>
        <v>0.98078528040322999</v>
      </c>
      <c r="Y26" s="11">
        <f t="shared" ref="Y26:Y28" si="54">+ROUND((H26-2*($J$2/1000))/($J$4/1000),0)+1</f>
        <v>4</v>
      </c>
      <c r="Z26" s="27">
        <f t="shared" ref="Z26:Z28" si="55">+H26/2</f>
        <v>0.3901806440322565</v>
      </c>
      <c r="AA26" s="18">
        <f t="shared" ref="AA26:AA28" si="56">+ROUND((G26-2*($J$2/1000))/($J$4/1000),0)+1</f>
        <v>8</v>
      </c>
      <c r="AB26" s="27">
        <f t="shared" ref="AB26:AB28" si="57">+(P26*Q26+R26*S26)*2+(T26*U26+V26*W26)+(X26*Y26+Z26*AA26)*2</f>
        <v>49.2106177</v>
      </c>
      <c r="AC26" s="50">
        <f t="shared" ref="AC26:AC28" si="58">+AB26*$J$5/1000</f>
        <v>4.3699028517599998E-2</v>
      </c>
      <c r="AD26" s="64">
        <f t="shared" ref="AD26:AD28" si="59">+O26+AC26</f>
        <v>1.4658293076743156</v>
      </c>
      <c r="AE26" s="27">
        <f t="shared" ref="AE26:AE28" si="60">+AD26</f>
        <v>1.4658293076743156</v>
      </c>
      <c r="AF26" s="11">
        <f t="shared" ref="AF26:AF28" si="61">+I26*($D$9-(J26/2-A26/2000))*$D$4</f>
        <v>1.1021282852114584</v>
      </c>
      <c r="AG26" s="11">
        <f t="shared" ref="AG26:AG28" si="62">+$D$5*(AE26+AF26)</f>
        <v>1.4637358279448911</v>
      </c>
      <c r="AH26" s="18">
        <f t="shared" ref="AH26:AH28" si="63">+(J26*H26)*$D$6</f>
        <v>6.2428903045161039</v>
      </c>
      <c r="AI26" s="27">
        <f t="shared" ref="AI26:AI28" si="64">+(AG26+AH26)/D26</f>
        <v>1.5717689515128068</v>
      </c>
      <c r="AJ26" s="18" t="str">
        <f t="shared" ref="AJ26:AJ28" si="65">+IF(AI26&gt;$N$2,"CUMPLE",IF(AI26=$N$2,"CUMPLE","NO CUMPLE"))</f>
        <v>CUMPLE</v>
      </c>
      <c r="AK26" s="26">
        <f t="shared" ref="AK26:AK28" si="66">+(AE26*G26/2+AF26*G26/2+AH26*J26/2)/(D26*J26/2)</f>
        <v>2.5574204567308727</v>
      </c>
      <c r="AL26" s="18" t="str">
        <f t="shared" ref="AL26:AL28" si="67">+IF(AK26&gt;$N$3,"CUMPLE",IF(AK26=$N$3,"CUMPLE","NO CUMPLE"))</f>
        <v>CUMPLE</v>
      </c>
      <c r="AM26" s="92">
        <f t="shared" ref="AM26:AM28" si="68">+$D$7/((AE26+AF26)/I26)</f>
        <v>5.9608995635328155</v>
      </c>
      <c r="AN26" s="56" t="str">
        <f t="shared" ref="AN26:AN28" si="69">+IF(AM26&gt;$N$4,"CUMPLE",IF(AM26=$N$4,"CUMPLE","NO CUMPLE"))</f>
        <v>CUMPLE</v>
      </c>
    </row>
    <row r="27" spans="1:40">
      <c r="A27" s="166">
        <v>500</v>
      </c>
      <c r="B27" s="10">
        <v>22.5</v>
      </c>
      <c r="C27" s="10">
        <v>10</v>
      </c>
      <c r="D27" s="27">
        <f t="shared" si="35"/>
        <v>7.6611790304041945</v>
      </c>
      <c r="E27" s="126">
        <v>5</v>
      </c>
      <c r="F27" s="55">
        <f t="shared" si="36"/>
        <v>2.5</v>
      </c>
      <c r="G27" s="55">
        <f t="shared" si="37"/>
        <v>2.4519632010080761</v>
      </c>
      <c r="H27" s="55">
        <f t="shared" si="38"/>
        <v>0.97545161008064118</v>
      </c>
      <c r="I27" s="55">
        <f t="shared" si="39"/>
        <v>1.1958857261409053</v>
      </c>
      <c r="J27" s="73">
        <v>1</v>
      </c>
      <c r="K27" s="27">
        <f t="shared" si="40"/>
        <v>5.9754516100806416</v>
      </c>
      <c r="L27" s="50">
        <f t="shared" si="41"/>
        <v>1.1958857261409053</v>
      </c>
      <c r="M27" s="49">
        <f t="shared" si="42"/>
        <v>3.8553142191755305E-2</v>
      </c>
      <c r="N27" s="48">
        <f t="shared" si="43"/>
        <v>1.15733258394915</v>
      </c>
      <c r="O27" s="63">
        <f t="shared" si="44"/>
        <v>2.7775982014779599</v>
      </c>
      <c r="P27" s="27">
        <f t="shared" si="45"/>
        <v>1</v>
      </c>
      <c r="Q27" s="27">
        <f t="shared" si="46"/>
        <v>10</v>
      </c>
      <c r="R27" s="27">
        <f t="shared" si="47"/>
        <v>2.5</v>
      </c>
      <c r="S27" s="18">
        <f t="shared" si="48"/>
        <v>4</v>
      </c>
      <c r="T27" s="27">
        <f t="shared" si="49"/>
        <v>1</v>
      </c>
      <c r="U27" s="27">
        <f t="shared" si="50"/>
        <v>4</v>
      </c>
      <c r="V27" s="27">
        <f t="shared" si="51"/>
        <v>0.97545161008064118</v>
      </c>
      <c r="W27" s="18">
        <f t="shared" si="52"/>
        <v>4</v>
      </c>
      <c r="X27" s="27">
        <f t="shared" si="53"/>
        <v>1.2259816005040374</v>
      </c>
      <c r="Y27" s="11">
        <f t="shared" si="54"/>
        <v>4</v>
      </c>
      <c r="Z27" s="27">
        <f t="shared" si="55"/>
        <v>0.48772580504032059</v>
      </c>
      <c r="AA27" s="18">
        <f t="shared" si="56"/>
        <v>10</v>
      </c>
      <c r="AB27" s="27">
        <f t="shared" si="57"/>
        <v>67.46417534516128</v>
      </c>
      <c r="AC27" s="50">
        <f t="shared" si="58"/>
        <v>5.9908187706503219E-2</v>
      </c>
      <c r="AD27" s="64">
        <f t="shared" si="59"/>
        <v>2.8375063891844632</v>
      </c>
      <c r="AE27" s="27">
        <f t="shared" si="60"/>
        <v>2.8375063891844632</v>
      </c>
      <c r="AF27" s="11">
        <f t="shared" si="61"/>
        <v>1.6144457302902222</v>
      </c>
      <c r="AG27" s="11">
        <f t="shared" si="62"/>
        <v>2.5376127081005704</v>
      </c>
      <c r="AH27" s="18">
        <f t="shared" si="63"/>
        <v>9.7545161008064127</v>
      </c>
      <c r="AI27" s="27">
        <f t="shared" si="64"/>
        <v>1.6044695940565257</v>
      </c>
      <c r="AJ27" s="18" t="str">
        <f t="shared" si="65"/>
        <v>CUMPLE</v>
      </c>
      <c r="AK27" s="26">
        <f t="shared" si="66"/>
        <v>2.6980884780756389</v>
      </c>
      <c r="AL27" s="18" t="str">
        <f t="shared" si="67"/>
        <v>CUMPLE</v>
      </c>
      <c r="AM27" s="92">
        <f t="shared" si="68"/>
        <v>5.3724105473174566</v>
      </c>
      <c r="AN27" s="56" t="str">
        <f t="shared" si="69"/>
        <v>CUMPLE</v>
      </c>
    </row>
    <row r="28" spans="1:40">
      <c r="A28" s="166">
        <v>630</v>
      </c>
      <c r="B28" s="10">
        <v>22.5</v>
      </c>
      <c r="C28" s="10">
        <v>10</v>
      </c>
      <c r="D28" s="27">
        <f t="shared" si="35"/>
        <v>12.1628878286697</v>
      </c>
      <c r="E28" s="126">
        <v>5</v>
      </c>
      <c r="F28" s="55">
        <f t="shared" si="36"/>
        <v>3.15</v>
      </c>
      <c r="G28" s="55">
        <f t="shared" si="37"/>
        <v>3.0894736332701758</v>
      </c>
      <c r="H28" s="55">
        <f t="shared" si="38"/>
        <v>1.2290690287016079</v>
      </c>
      <c r="I28" s="55">
        <f t="shared" si="39"/>
        <v>1.8985881788213013</v>
      </c>
      <c r="J28" s="73">
        <v>1.2</v>
      </c>
      <c r="K28" s="27">
        <f t="shared" si="40"/>
        <v>9.0348828344419285</v>
      </c>
      <c r="L28" s="50">
        <f t="shared" si="41"/>
        <v>2.2783058145855613</v>
      </c>
      <c r="M28" s="49">
        <f t="shared" si="42"/>
        <v>7.7120780364974717E-2</v>
      </c>
      <c r="N28" s="48">
        <f t="shared" si="43"/>
        <v>2.2011850342205865</v>
      </c>
      <c r="O28" s="63">
        <f t="shared" si="44"/>
        <v>5.2828440821294071</v>
      </c>
      <c r="P28" s="27">
        <f t="shared" si="45"/>
        <v>1.2</v>
      </c>
      <c r="Q28" s="27">
        <f t="shared" si="46"/>
        <v>13</v>
      </c>
      <c r="R28" s="27">
        <f t="shared" si="47"/>
        <v>3.15</v>
      </c>
      <c r="S28" s="18">
        <f t="shared" si="48"/>
        <v>5</v>
      </c>
      <c r="T28" s="27">
        <f t="shared" si="49"/>
        <v>1.2</v>
      </c>
      <c r="U28" s="27">
        <f t="shared" si="50"/>
        <v>5</v>
      </c>
      <c r="V28" s="27">
        <f t="shared" si="51"/>
        <v>1.2290690287016079</v>
      </c>
      <c r="W28" s="18">
        <f t="shared" si="52"/>
        <v>5</v>
      </c>
      <c r="X28" s="27">
        <f t="shared" si="53"/>
        <v>1.5447368166350872</v>
      </c>
      <c r="Y28" s="11">
        <f t="shared" si="54"/>
        <v>5</v>
      </c>
      <c r="Z28" s="27">
        <f t="shared" si="55"/>
        <v>0.61453451435080397</v>
      </c>
      <c r="AA28" s="18">
        <f t="shared" si="56"/>
        <v>13</v>
      </c>
      <c r="AB28" s="27">
        <f t="shared" si="57"/>
        <v>106.27061068297982</v>
      </c>
      <c r="AC28" s="50">
        <f t="shared" si="58"/>
        <v>9.4368302286486086E-2</v>
      </c>
      <c r="AD28" s="64">
        <f t="shared" si="59"/>
        <v>5.377212384415893</v>
      </c>
      <c r="AE28" s="27">
        <f t="shared" si="60"/>
        <v>5.377212384415893</v>
      </c>
      <c r="AF28" s="11">
        <f t="shared" si="61"/>
        <v>2.4434829861430152</v>
      </c>
      <c r="AG28" s="11">
        <f t="shared" si="62"/>
        <v>4.4577963612185778</v>
      </c>
      <c r="AH28" s="18">
        <f t="shared" si="63"/>
        <v>14.748828344419296</v>
      </c>
      <c r="AI28" s="27">
        <f t="shared" si="64"/>
        <v>1.5791171452198269</v>
      </c>
      <c r="AJ28" s="18" t="str">
        <f t="shared" si="65"/>
        <v>CUMPLE</v>
      </c>
      <c r="AK28" s="26">
        <f t="shared" si="66"/>
        <v>2.8680432602398294</v>
      </c>
      <c r="AL28" s="18" t="str">
        <f t="shared" si="67"/>
        <v>CUMPLE</v>
      </c>
      <c r="AM28" s="92">
        <f t="shared" si="68"/>
        <v>4.8552924998678684</v>
      </c>
      <c r="AN28" s="56" t="str">
        <f t="shared" si="69"/>
        <v>CUMPLE</v>
      </c>
    </row>
  </sheetData>
  <mergeCells count="13">
    <mergeCell ref="AM16:AN16"/>
    <mergeCell ref="P15:S15"/>
    <mergeCell ref="T15:W15"/>
    <mergeCell ref="X15:AA15"/>
    <mergeCell ref="AE15:AH15"/>
    <mergeCell ref="AI16:AJ16"/>
    <mergeCell ref="AK16:AL16"/>
    <mergeCell ref="AI15:AN15"/>
    <mergeCell ref="AU15:AV15"/>
    <mergeCell ref="AW15:AX15"/>
    <mergeCell ref="M15:O15"/>
    <mergeCell ref="E15:L15"/>
    <mergeCell ref="AB15:AC15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9"/>
  <sheetViews>
    <sheetView workbookViewId="0">
      <selection activeCell="D14" sqref="D14"/>
    </sheetView>
  </sheetViews>
  <sheetFormatPr baseColWidth="10" defaultRowHeight="15"/>
  <cols>
    <col min="1" max="10" width="11.42578125" style="42"/>
    <col min="11" max="12" width="15.7109375" style="42" customWidth="1"/>
    <col min="13" max="16" width="12.7109375" style="42" customWidth="1"/>
    <col min="17" max="18" width="14.7109375" style="42" customWidth="1"/>
    <col min="19" max="16384" width="11.42578125" style="42"/>
  </cols>
  <sheetData>
    <row r="2" spans="1:18" ht="20.25" customHeight="1">
      <c r="A2" s="53" t="s">
        <v>7</v>
      </c>
      <c r="B2" s="53" t="s">
        <v>15</v>
      </c>
      <c r="C2" s="36" t="s">
        <v>8</v>
      </c>
      <c r="D2" s="136" t="s">
        <v>13</v>
      </c>
      <c r="E2" s="159"/>
      <c r="F2" s="159"/>
      <c r="G2" s="159"/>
      <c r="H2" s="148"/>
      <c r="I2" s="36" t="s">
        <v>22</v>
      </c>
      <c r="J2" s="36" t="s">
        <v>60</v>
      </c>
      <c r="K2" s="36" t="s">
        <v>25</v>
      </c>
      <c r="L2" s="36" t="s">
        <v>26</v>
      </c>
      <c r="M2" s="163" t="s">
        <v>75</v>
      </c>
      <c r="N2" s="164"/>
      <c r="O2" s="164"/>
      <c r="P2" s="165"/>
      <c r="Q2" s="53" t="s">
        <v>55</v>
      </c>
      <c r="R2" s="53" t="s">
        <v>56</v>
      </c>
    </row>
    <row r="3" spans="1:18">
      <c r="A3" s="37" t="s">
        <v>9</v>
      </c>
      <c r="B3" s="37" t="s">
        <v>11</v>
      </c>
      <c r="C3" s="38" t="s">
        <v>12</v>
      </c>
      <c r="D3" s="38" t="s">
        <v>70</v>
      </c>
      <c r="E3" s="38" t="s">
        <v>116</v>
      </c>
      <c r="F3" s="38" t="s">
        <v>117</v>
      </c>
      <c r="G3" s="38" t="s">
        <v>118</v>
      </c>
      <c r="H3" s="36" t="s">
        <v>71</v>
      </c>
      <c r="I3" s="38" t="s">
        <v>23</v>
      </c>
      <c r="J3" s="38" t="s">
        <v>24</v>
      </c>
      <c r="K3" s="38" t="s">
        <v>12</v>
      </c>
      <c r="L3" s="38" t="s">
        <v>12</v>
      </c>
      <c r="M3" s="38" t="s">
        <v>76</v>
      </c>
      <c r="N3" s="38" t="s">
        <v>72</v>
      </c>
      <c r="O3" s="38" t="s">
        <v>73</v>
      </c>
      <c r="P3" s="38" t="s">
        <v>74</v>
      </c>
      <c r="Q3" s="36" t="s">
        <v>77</v>
      </c>
      <c r="R3" s="36" t="s">
        <v>77</v>
      </c>
    </row>
    <row r="4" spans="1:18">
      <c r="A4" s="10">
        <f>+'Tes_(más desfav)'!B18</f>
        <v>90</v>
      </c>
      <c r="B4" s="10">
        <f>+'Tes_(más desfav)'!C18</f>
        <v>10</v>
      </c>
      <c r="C4" s="11">
        <f>+'Tes_(más desfav)'!D18</f>
        <v>0.63617251235193306</v>
      </c>
      <c r="D4" s="11">
        <f>+'Tes_(más desfav)'!F18</f>
        <v>0.27</v>
      </c>
      <c r="E4" s="11">
        <f>+'Tes_(más desfav)'!H18</f>
        <v>0.13500000000000001</v>
      </c>
      <c r="F4" s="11">
        <f>+'Tes_(más desfav)'!J18</f>
        <v>0.27</v>
      </c>
      <c r="G4" s="11">
        <f>+'Tes_(más desfav)'!L18</f>
        <v>0.13500000000000001</v>
      </c>
      <c r="H4" s="11">
        <f>+'Tes_(más desfav)'!N18</f>
        <v>0.5</v>
      </c>
      <c r="I4" s="11">
        <f>+'Tes_(más desfav)'!O18</f>
        <v>0.67500000000000004</v>
      </c>
      <c r="J4" s="65">
        <f>+'Tes_(más desfav)'!R18</f>
        <v>4.3844834216649788E-2</v>
      </c>
      <c r="K4" s="11">
        <f>+'Tes_(más desfav)'!Q18</f>
        <v>1.7176657833502193E-3</v>
      </c>
      <c r="L4" s="65">
        <f>+'Tes_(más desfav)'!AO18</f>
        <v>8.3471999999999991E-3</v>
      </c>
      <c r="M4" s="11">
        <f>+'Tes_(más desfav)'!AR18</f>
        <v>0.11887355211995949</v>
      </c>
      <c r="N4" s="11">
        <f>+'Tes_(más desfav)'!AS18</f>
        <v>5.7499875000000006E-2</v>
      </c>
      <c r="O4" s="11">
        <f>+'Tes_(más desfav)'!AT18</f>
        <v>0.10053285345837691</v>
      </c>
      <c r="P4" s="11">
        <f>+'Tes_(más desfav)'!AU18</f>
        <v>1.35</v>
      </c>
      <c r="Q4" s="11">
        <f>+'Tes_(más desfav)'!AV18</f>
        <v>2.2800935678527661</v>
      </c>
      <c r="R4" s="11">
        <f>+'Tes_(más desfav)'!AX18</f>
        <v>2.3466315299415359</v>
      </c>
    </row>
    <row r="5" spans="1:18">
      <c r="A5" s="10">
        <f>+'Tes_(más desfav)'!B19</f>
        <v>110</v>
      </c>
      <c r="B5" s="10">
        <f>+'Tes_(más desfav)'!C19</f>
        <v>10</v>
      </c>
      <c r="C5" s="11">
        <f>+'Tes_(más desfav)'!D19</f>
        <v>0.95033177771091248</v>
      </c>
      <c r="D5" s="11">
        <f>+'Tes_(más desfav)'!F19</f>
        <v>0.44</v>
      </c>
      <c r="E5" s="11">
        <f>+'Tes_(más desfav)'!H19</f>
        <v>0.22</v>
      </c>
      <c r="F5" s="11">
        <f>+'Tes_(más desfav)'!J19</f>
        <v>0.33</v>
      </c>
      <c r="G5" s="11">
        <f>+'Tes_(más desfav)'!L19</f>
        <v>0.16500000000000001</v>
      </c>
      <c r="H5" s="11">
        <f>+'Tes_(más desfav)'!N19</f>
        <v>0.5</v>
      </c>
      <c r="I5" s="11">
        <f>+'Tes_(más desfav)'!O19</f>
        <v>0.93500000000000005</v>
      </c>
      <c r="J5" s="65">
        <f>+'Tes_(más desfav)'!R19</f>
        <v>8.7091222655812983E-2</v>
      </c>
      <c r="K5" s="11">
        <f>+'Tes_(más desfav)'!Q19</f>
        <v>3.6587773441870129E-3</v>
      </c>
      <c r="L5" s="65">
        <f>+'Tes_(más desfav)'!AO19</f>
        <v>1.029192E-2</v>
      </c>
      <c r="M5" s="11">
        <f>+'Tes_(más desfav)'!AR19</f>
        <v>0.22460960437395117</v>
      </c>
      <c r="N5" s="11">
        <f>+'Tes_(más desfav)'!AS19</f>
        <v>0.1177935</v>
      </c>
      <c r="O5" s="11">
        <f>+'Tes_(más desfav)'!AT19</f>
        <v>0.19516976949315215</v>
      </c>
      <c r="P5" s="11">
        <f>+'Tes_(más desfav)'!AU19</f>
        <v>2.2000000000000002</v>
      </c>
      <c r="Q5" s="11">
        <f>+'Tes_(más desfav)'!AV19</f>
        <v>2.5203511296470129</v>
      </c>
      <c r="R5" s="11">
        <f>+'Tes_(más desfav)'!AX19</f>
        <v>2.6716764953876564</v>
      </c>
    </row>
    <row r="6" spans="1:18">
      <c r="A6" s="10">
        <f>+'Tes_(más desfav)'!B20</f>
        <v>125</v>
      </c>
      <c r="B6" s="10">
        <f>+'Tes_(más desfav)'!C20</f>
        <v>10</v>
      </c>
      <c r="C6" s="11">
        <f>+'Tes_(más desfav)'!D20</f>
        <v>1.2271846303085128</v>
      </c>
      <c r="D6" s="11">
        <f>+'Tes_(más desfav)'!F20</f>
        <v>0.5</v>
      </c>
      <c r="E6" s="11">
        <f>+'Tes_(más desfav)'!H20</f>
        <v>0.25</v>
      </c>
      <c r="F6" s="11">
        <f>+'Tes_(más desfav)'!J20</f>
        <v>0.375</v>
      </c>
      <c r="G6" s="11">
        <f>+'Tes_(más desfav)'!L20</f>
        <v>0.1875</v>
      </c>
      <c r="H6" s="11">
        <f>+'Tes_(más desfav)'!N20</f>
        <v>0.5</v>
      </c>
      <c r="I6" s="11">
        <f>+'Tes_(más desfav)'!O20</f>
        <v>1.0625</v>
      </c>
      <c r="J6" s="65">
        <f>+'Tes_(más desfav)'!R20</f>
        <v>0.11181856724240026</v>
      </c>
      <c r="K6" s="11">
        <f>+'Tes_(más desfav)'!Q20</f>
        <v>5.3689327575997441E-3</v>
      </c>
      <c r="L6" s="65">
        <f>+'Tes_(más desfav)'!AO20</f>
        <v>1.2099E-2</v>
      </c>
      <c r="M6" s="11">
        <f>+'Tes_(más desfav)'!AR20</f>
        <v>0.28576231138176067</v>
      </c>
      <c r="N6" s="11">
        <f>+'Tes_(más desfav)'!AS20</f>
        <v>0.1552734375</v>
      </c>
      <c r="O6" s="11">
        <f>+'Tes_(más desfav)'!AT20</f>
        <v>0.25139037686260357</v>
      </c>
      <c r="P6" s="11">
        <f>+'Tes_(más desfav)'!AU20</f>
        <v>2.5</v>
      </c>
      <c r="Q6" s="11">
        <f>+'Tes_(más desfav)'!AV20</f>
        <v>2.24203457972816</v>
      </c>
      <c r="R6" s="11">
        <f>+'Tes_(más desfav)'!AX20</f>
        <v>2.4414950639813249</v>
      </c>
    </row>
    <row r="7" spans="1:18">
      <c r="A7" s="10" t="e">
        <f>+'Tes_(más desfav)'!#REF!</f>
        <v>#REF!</v>
      </c>
      <c r="B7" s="10" t="e">
        <f>+'Tes_(más desfav)'!#REF!</f>
        <v>#REF!</v>
      </c>
      <c r="C7" s="11" t="e">
        <f>+'Tes_(más desfav)'!#REF!</f>
        <v>#REF!</v>
      </c>
      <c r="D7" s="11" t="e">
        <f>+'Tes_(más desfav)'!#REF!</f>
        <v>#REF!</v>
      </c>
      <c r="E7" s="11" t="e">
        <f>+'Tes_(más desfav)'!#REF!</f>
        <v>#REF!</v>
      </c>
      <c r="F7" s="11" t="e">
        <f>+'Tes_(más desfav)'!#REF!</f>
        <v>#REF!</v>
      </c>
      <c r="G7" s="11" t="e">
        <f>+'Tes_(más desfav)'!#REF!</f>
        <v>#REF!</v>
      </c>
      <c r="H7" s="11" t="e">
        <f>+'Tes_(más desfav)'!#REF!</f>
        <v>#REF!</v>
      </c>
      <c r="I7" s="11" t="e">
        <f>+'Tes_(más desfav)'!#REF!</f>
        <v>#REF!</v>
      </c>
      <c r="J7" s="65" t="e">
        <f>+'Tes_(más desfav)'!#REF!</f>
        <v>#REF!</v>
      </c>
      <c r="K7" s="11" t="e">
        <f>+'Tes_(más desfav)'!#REF!</f>
        <v>#REF!</v>
      </c>
      <c r="L7" s="65" t="e">
        <f>+'Tes_(más desfav)'!#REF!</f>
        <v>#REF!</v>
      </c>
      <c r="M7" s="11" t="e">
        <f>+'Tes_(más desfav)'!#REF!</f>
        <v>#REF!</v>
      </c>
      <c r="N7" s="11" t="e">
        <f>+'Tes_(más desfav)'!#REF!</f>
        <v>#REF!</v>
      </c>
      <c r="O7" s="11" t="e">
        <f>+'Tes_(más desfav)'!#REF!</f>
        <v>#REF!</v>
      </c>
      <c r="P7" s="11" t="e">
        <f>+'Tes_(más desfav)'!#REF!</f>
        <v>#REF!</v>
      </c>
      <c r="Q7" s="11" t="e">
        <f>+'Tes_(más desfav)'!#REF!</f>
        <v>#REF!</v>
      </c>
      <c r="R7" s="11" t="e">
        <f>+'Tes_(más desfav)'!#REF!</f>
        <v>#REF!</v>
      </c>
    </row>
    <row r="8" spans="1:18">
      <c r="A8" s="10">
        <f>+'Tes_(más desfav)'!B22</f>
        <v>160</v>
      </c>
      <c r="B8" s="10">
        <f>+'Tes_(más desfav)'!C22</f>
        <v>10</v>
      </c>
      <c r="C8" s="11">
        <f>+'Tes_(más desfav)'!D22</f>
        <v>2.0106192982974678</v>
      </c>
      <c r="D8" s="11">
        <f>+'Tes_(más desfav)'!F22</f>
        <v>0.64</v>
      </c>
      <c r="E8" s="11">
        <f>+'Tes_(más desfav)'!H22</f>
        <v>0.32</v>
      </c>
      <c r="F8" s="11">
        <f>+'Tes_(más desfav)'!J22</f>
        <v>0.48</v>
      </c>
      <c r="G8" s="11">
        <f>+'Tes_(más desfav)'!L22</f>
        <v>0.24</v>
      </c>
      <c r="H8" s="11">
        <f>+'Tes_(más desfav)'!N22</f>
        <v>0.6</v>
      </c>
      <c r="I8" s="11">
        <f>+'Tes_(más desfav)'!O22</f>
        <v>1.6320000000000001</v>
      </c>
      <c r="J8" s="65">
        <f>+'Tes_(más desfav)'!R22</f>
        <v>0.21914053192953414</v>
      </c>
      <c r="K8" s="11">
        <f>+'Tes_(más desfav)'!Q22</f>
        <v>1.1259468070465819E-2</v>
      </c>
      <c r="L8" s="65">
        <f>+'Tes_(más desfav)'!AO22</f>
        <v>1.9891199999999998E-2</v>
      </c>
      <c r="M8" s="11">
        <f>+'Tes_(más desfav)'!AR22</f>
        <v>0.55112722663088198</v>
      </c>
      <c r="N8" s="11">
        <f>+'Tes_(más desfav)'!AS22</f>
        <v>0.231936</v>
      </c>
      <c r="O8" s="11">
        <f>+'Tes_(más desfav)'!AT22</f>
        <v>0.44634603917960269</v>
      </c>
      <c r="P8" s="11">
        <f>+'Tes_(más desfav)'!AU22</f>
        <v>3.84</v>
      </c>
      <c r="Q8" s="11">
        <f>+'Tes_(más desfav)'!AV22</f>
        <v>2.1318536248056268</v>
      </c>
      <c r="R8" s="11">
        <f>+'Tes_(más desfav)'!AX22</f>
        <v>2.3772157543719712</v>
      </c>
    </row>
    <row r="9" spans="1:18">
      <c r="A9" s="10">
        <f>+'Tes_(más desfav)'!B23</f>
        <v>200</v>
      </c>
      <c r="B9" s="10">
        <f>+'Tes_(más desfav)'!C23</f>
        <v>10</v>
      </c>
      <c r="C9" s="11">
        <f>+'Tes_(más desfav)'!D23</f>
        <v>3.1415926535897936</v>
      </c>
      <c r="D9" s="11">
        <f>+'Tes_(más desfav)'!F23</f>
        <v>1</v>
      </c>
      <c r="E9" s="11">
        <f>+'Tes_(más desfav)'!H23</f>
        <v>0.5</v>
      </c>
      <c r="F9" s="11">
        <f>+'Tes_(más desfav)'!J23</f>
        <v>0.60000000000000009</v>
      </c>
      <c r="G9" s="11">
        <f>+'Tes_(más desfav)'!L23</f>
        <v>0.30000000000000004</v>
      </c>
      <c r="H9" s="11">
        <f>+'Tes_(más desfav)'!N23</f>
        <v>0.6</v>
      </c>
      <c r="I9" s="11">
        <f>+'Tes_(más desfav)'!O23</f>
        <v>2.2800000000000002</v>
      </c>
      <c r="J9" s="65">
        <f>+'Tes_(más desfav)'!R23</f>
        <v>0.42486725877128173</v>
      </c>
      <c r="K9" s="11">
        <f>+'Tes_(más desfav)'!Q23</f>
        <v>2.513274122871835E-2</v>
      </c>
      <c r="L9" s="65">
        <f>+'Tes_(más desfav)'!AO23</f>
        <v>3.1080000000000003E-2</v>
      </c>
      <c r="M9" s="11">
        <f>+'Tes_(más desfav)'!AR23</f>
        <v>1.056060171051076</v>
      </c>
      <c r="N9" s="11">
        <f>+'Tes_(más desfav)'!AS23</f>
        <v>0.48000000000000009</v>
      </c>
      <c r="O9" s="11">
        <f>+'Tes_(más desfav)'!AT23</f>
        <v>0.87555429749911318</v>
      </c>
      <c r="P9" s="11">
        <f>+'Tes_(más desfav)'!AU23</f>
        <v>6</v>
      </c>
      <c r="Q9" s="11">
        <f>+'Tes_(más desfav)'!AV23</f>
        <v>2.1885569058874155</v>
      </c>
      <c r="R9" s="11">
        <f>+'Tes_(más desfav)'!AX23</f>
        <v>2.643274024430827</v>
      </c>
    </row>
  </sheetData>
  <mergeCells count="2">
    <mergeCell ref="D2:H2"/>
    <mergeCell ref="M2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0"/>
  <sheetViews>
    <sheetView workbookViewId="0">
      <selection activeCell="A25" sqref="A25"/>
    </sheetView>
  </sheetViews>
  <sheetFormatPr baseColWidth="10" defaultRowHeight="15"/>
  <cols>
    <col min="1" max="8" width="11.42578125" style="42"/>
    <col min="9" max="10" width="15.7109375" style="42" customWidth="1"/>
    <col min="11" max="14" width="12.7109375" style="42" customWidth="1"/>
    <col min="15" max="16" width="14.7109375" style="42" customWidth="1"/>
    <col min="17" max="16384" width="11.42578125" style="42"/>
  </cols>
  <sheetData>
    <row r="2" spans="1:16" ht="20.25" customHeight="1">
      <c r="A2" s="53" t="s">
        <v>7</v>
      </c>
      <c r="B2" s="53" t="s">
        <v>15</v>
      </c>
      <c r="C2" s="36" t="s">
        <v>8</v>
      </c>
      <c r="D2" s="136" t="s">
        <v>13</v>
      </c>
      <c r="E2" s="159"/>
      <c r="F2" s="148"/>
      <c r="G2" s="36" t="s">
        <v>22</v>
      </c>
      <c r="H2" s="36" t="s">
        <v>60</v>
      </c>
      <c r="I2" s="36" t="s">
        <v>25</v>
      </c>
      <c r="J2" s="36" t="s">
        <v>26</v>
      </c>
      <c r="K2" s="163" t="s">
        <v>75</v>
      </c>
      <c r="L2" s="164"/>
      <c r="M2" s="164"/>
      <c r="N2" s="165"/>
      <c r="O2" s="53" t="s">
        <v>55</v>
      </c>
      <c r="P2" s="53" t="s">
        <v>56</v>
      </c>
    </row>
    <row r="3" spans="1:16">
      <c r="A3" s="37" t="s">
        <v>9</v>
      </c>
      <c r="B3" s="37" t="s">
        <v>11</v>
      </c>
      <c r="C3" s="38" t="s">
        <v>12</v>
      </c>
      <c r="D3" s="38" t="s">
        <v>121</v>
      </c>
      <c r="E3" s="38" t="s">
        <v>122</v>
      </c>
      <c r="F3" s="36" t="s">
        <v>71</v>
      </c>
      <c r="G3" s="38" t="s">
        <v>23</v>
      </c>
      <c r="H3" s="38" t="s">
        <v>24</v>
      </c>
      <c r="I3" s="38" t="s">
        <v>12</v>
      </c>
      <c r="J3" s="38" t="s">
        <v>12</v>
      </c>
      <c r="K3" s="38" t="s">
        <v>76</v>
      </c>
      <c r="L3" s="38" t="s">
        <v>72</v>
      </c>
      <c r="M3" s="38" t="s">
        <v>73</v>
      </c>
      <c r="N3" s="38" t="s">
        <v>74</v>
      </c>
      <c r="O3" s="36" t="s">
        <v>77</v>
      </c>
      <c r="P3" s="36" t="s">
        <v>77</v>
      </c>
    </row>
    <row r="4" spans="1:16">
      <c r="A4" s="10">
        <f>+Tapón!A18</f>
        <v>90</v>
      </c>
      <c r="B4" s="10">
        <f>+Tapón!B18</f>
        <v>10</v>
      </c>
      <c r="C4" s="11">
        <f>+Tapón!C18</f>
        <v>0.63617251235193306</v>
      </c>
      <c r="D4" s="11">
        <f>+Tapón!E18</f>
        <v>0.33999999999999997</v>
      </c>
      <c r="E4" s="11">
        <f>+Tapón!G18</f>
        <v>0.33999999999999997</v>
      </c>
      <c r="F4" s="11">
        <f>+Tapón!I18</f>
        <v>0.33999999999999997</v>
      </c>
      <c r="G4" s="11">
        <f>+Tapón!R18</f>
        <v>0.46239999999999992</v>
      </c>
      <c r="H4" s="11">
        <f>+Tapón!T18</f>
        <v>3.714101345800342E-2</v>
      </c>
      <c r="I4" s="11">
        <f>+Tapón!U18</f>
        <v>8.9138432299208203E-2</v>
      </c>
      <c r="J4" s="65">
        <f>+Tapón!AK18</f>
        <v>7.2460800000000002E-3</v>
      </c>
      <c r="K4" s="11">
        <f>+Tapón!AM18</f>
        <v>9.9886194165913808E-2</v>
      </c>
      <c r="L4" s="11">
        <f>+Tapón!AN18</f>
        <v>0.18206999999999998</v>
      </c>
      <c r="M4" s="11">
        <f>+Tapón!AO18</f>
        <v>0.16071503067457085</v>
      </c>
      <c r="N4" s="11">
        <f>+Tapón!AP18</f>
        <v>1.1559999999999997</v>
      </c>
      <c r="O4" s="11">
        <f>+Tapón!AQ18</f>
        <v>2.069745242224736</v>
      </c>
      <c r="P4" s="11">
        <f>+Tapón!AS18</f>
        <v>2.2603243086529816</v>
      </c>
    </row>
    <row r="5" spans="1:16">
      <c r="A5" s="10">
        <f>+Tapón!A19</f>
        <v>110</v>
      </c>
      <c r="B5" s="10">
        <f>+Tapón!B19</f>
        <v>10</v>
      </c>
      <c r="C5" s="11">
        <f>+Tapón!C19</f>
        <v>0.95033177771091248</v>
      </c>
      <c r="D5" s="11">
        <f>+Tapón!E19</f>
        <v>0.51</v>
      </c>
      <c r="E5" s="11">
        <f>+Tapón!G19</f>
        <v>0.51</v>
      </c>
      <c r="F5" s="11">
        <f>+Tapón!I19</f>
        <v>0.51</v>
      </c>
      <c r="G5" s="11">
        <f>+Tapón!R19</f>
        <v>1.0404</v>
      </c>
      <c r="H5" s="11">
        <f>+Tapón!T19</f>
        <v>0.12780430793367434</v>
      </c>
      <c r="I5" s="11">
        <f>+Tapón!U19</f>
        <v>0.30673033904081842</v>
      </c>
      <c r="J5" s="65">
        <f>+Tapón!AK19</f>
        <v>1.0869120000000001E-2</v>
      </c>
      <c r="K5" s="11">
        <f>+Tapón!AM19</f>
        <v>0.32444034337256383</v>
      </c>
      <c r="L5" s="11">
        <f>+Tapón!AN19</f>
        <v>0.37454400000000004</v>
      </c>
      <c r="M5" s="11">
        <f>+Tapón!AO19</f>
        <v>0.39842107572236135</v>
      </c>
      <c r="N5" s="11">
        <f>+Tapón!AP19</f>
        <v>2.601</v>
      </c>
      <c r="O5" s="11">
        <f>+Tapón!AQ19</f>
        <v>3.1561830784477611</v>
      </c>
      <c r="P5" s="11">
        <f>+Tapón!AS19</f>
        <v>3.4724550107345853</v>
      </c>
    </row>
    <row r="6" spans="1:16">
      <c r="A6" s="10">
        <f>+Tapón!A20</f>
        <v>125</v>
      </c>
      <c r="B6" s="10">
        <f>+Tapón!B20</f>
        <v>10</v>
      </c>
      <c r="C6" s="11">
        <f>+Tapón!C20</f>
        <v>1.2271846303085128</v>
      </c>
      <c r="D6" s="11">
        <f>+Tapón!E20</f>
        <v>0.625</v>
      </c>
      <c r="E6" s="11">
        <f>+Tapón!G20</f>
        <v>0.625</v>
      </c>
      <c r="F6" s="11">
        <f>+Tapón!I20</f>
        <v>0.625</v>
      </c>
      <c r="G6" s="11">
        <f>+Tapón!R20</f>
        <v>1.5625</v>
      </c>
      <c r="H6" s="11">
        <f>+Tapón!T20</f>
        <v>0.23647072106057179</v>
      </c>
      <c r="I6" s="11">
        <f>+Tapón!U20</f>
        <v>0.56752973054537226</v>
      </c>
      <c r="J6" s="65">
        <f>+Tapón!AK20</f>
        <v>1.9980000000000001E-2</v>
      </c>
      <c r="K6" s="11">
        <f>+Tapón!AM20</f>
        <v>0.59850206439318399</v>
      </c>
      <c r="L6" s="11">
        <f>+Tapón!AN20</f>
        <v>0.52734375</v>
      </c>
      <c r="M6" s="11">
        <f>+Tapón!AO20</f>
        <v>0.6417321142041148</v>
      </c>
      <c r="N6" s="11">
        <f>+Tapón!AP20</f>
        <v>3.90625</v>
      </c>
      <c r="O6" s="11">
        <f>+Tapón!AQ20</f>
        <v>3.7060292329938629</v>
      </c>
      <c r="P6" s="11">
        <f>+Tapón!AS20</f>
        <v>4.1005205656202861</v>
      </c>
    </row>
    <row r="7" spans="1:16">
      <c r="A7" s="10">
        <f>+Tapón!A21</f>
        <v>140</v>
      </c>
      <c r="B7" s="10">
        <f>+Tapón!B21</f>
        <v>10</v>
      </c>
      <c r="C7" s="11">
        <f>+Tapón!C21</f>
        <v>1.5393804002589988</v>
      </c>
      <c r="D7" s="11">
        <f>+Tapón!E21</f>
        <v>0.69000000000000006</v>
      </c>
      <c r="E7" s="11">
        <f>+Tapón!G21</f>
        <v>0.69000000000000006</v>
      </c>
      <c r="F7" s="11">
        <f>+Tapón!I21</f>
        <v>0.69000000000000006</v>
      </c>
      <c r="G7" s="11">
        <f>+Tapón!R21</f>
        <v>1.9044000000000003</v>
      </c>
      <c r="H7" s="11">
        <f>+Tapón!T21</f>
        <v>0.31788727523821303</v>
      </c>
      <c r="I7" s="11">
        <f>+Tapón!U21</f>
        <v>0.76292946057171129</v>
      </c>
      <c r="J7" s="65">
        <f>+Tapón!AK21</f>
        <v>2.2057920000000002E-2</v>
      </c>
      <c r="K7" s="11">
        <f>+Tapón!AM21</f>
        <v>0.80597116015040626</v>
      </c>
      <c r="L7" s="11">
        <f>+Tapón!AN21</f>
        <v>0.6213105000000001</v>
      </c>
      <c r="M7" s="11">
        <f>+Tapón!AO21</f>
        <v>0.81355054628573154</v>
      </c>
      <c r="N7" s="11">
        <f>+Tapón!AP21</f>
        <v>4.761000000000001</v>
      </c>
      <c r="O7" s="11">
        <f>+Tapón!AQ21</f>
        <v>3.6212949998244888</v>
      </c>
      <c r="P7" s="11">
        <f>+Tapón!AS21</f>
        <v>4.0199821039096237</v>
      </c>
    </row>
    <row r="8" spans="1:16">
      <c r="A8" s="10">
        <f>+Tapón!A22</f>
        <v>160</v>
      </c>
      <c r="B8" s="10">
        <f>+Tapón!B22</f>
        <v>10</v>
      </c>
      <c r="C8" s="11">
        <f>+Tapón!C22</f>
        <v>2.0106192982974678</v>
      </c>
      <c r="D8" s="11">
        <f>+Tapón!E22</f>
        <v>0.76</v>
      </c>
      <c r="E8" s="11">
        <f>+Tapón!G22</f>
        <v>0.76</v>
      </c>
      <c r="F8" s="11">
        <f>+Tapón!I22</f>
        <v>0.76</v>
      </c>
      <c r="G8" s="11">
        <f>+Tapón!R22</f>
        <v>2.3104</v>
      </c>
      <c r="H8" s="11">
        <f>+Tapón!T22</f>
        <v>0.42369529333293926</v>
      </c>
      <c r="I8" s="11">
        <f>+Tapón!U22</f>
        <v>1.0168687039990543</v>
      </c>
      <c r="J8" s="65">
        <f>+Tapón!AK22</f>
        <v>2.4295680000000004E-2</v>
      </c>
      <c r="K8" s="11">
        <f>+Tapón!AM22</f>
        <v>1.081186879775309</v>
      </c>
      <c r="L8" s="11">
        <f>+Tapón!AN22</f>
        <v>0.72777599999999998</v>
      </c>
      <c r="M8" s="11">
        <f>+Tapón!AO22</f>
        <v>1.0311088414719261</v>
      </c>
      <c r="N8" s="11">
        <f>+Tapón!AP22</f>
        <v>5.7759999999999998</v>
      </c>
      <c r="O8" s="11">
        <f>+Tapón!AQ22</f>
        <v>3.385578188390006</v>
      </c>
      <c r="P8" s="11">
        <f>+Tapón!AS22</f>
        <v>3.7724510483899305</v>
      </c>
    </row>
    <row r="9" spans="1:16">
      <c r="A9" s="10">
        <f>+Tapón!A23</f>
        <v>200</v>
      </c>
      <c r="B9" s="10">
        <f>+Tapón!B23</f>
        <v>10</v>
      </c>
      <c r="C9" s="11">
        <f>+Tapón!C23</f>
        <v>3.1415926535897936</v>
      </c>
      <c r="D9" s="11">
        <f>+Tapón!E23</f>
        <v>1</v>
      </c>
      <c r="E9" s="11">
        <f>+Tapón!G23</f>
        <v>1</v>
      </c>
      <c r="F9" s="11">
        <f>+Tapón!I23</f>
        <v>0.85000000000000009</v>
      </c>
      <c r="G9" s="11">
        <f>+Tapón!R23</f>
        <v>3.4000000000000004</v>
      </c>
      <c r="H9" s="11">
        <f>+Tapón!T23</f>
        <v>0.81858407346410211</v>
      </c>
      <c r="I9" s="11">
        <f>+Tapón!U23</f>
        <v>1.964601776313845</v>
      </c>
      <c r="J9" s="65">
        <f>+Tapón!AK23</f>
        <v>4.0492800000000002E-2</v>
      </c>
      <c r="K9" s="11">
        <f>+Tapón!AM23</f>
        <v>2.148416125614641</v>
      </c>
      <c r="L9" s="11">
        <f>+Tapón!AN23</f>
        <v>1.2149999999999999</v>
      </c>
      <c r="M9" s="11">
        <f>+Tapón!AO23</f>
        <v>1.9171471916003451</v>
      </c>
      <c r="N9" s="11">
        <f>+Tapón!AP23</f>
        <v>8.5</v>
      </c>
      <c r="O9" s="11">
        <f>+Tapón!AQ23</f>
        <v>3.3158809369180999</v>
      </c>
      <c r="P9" s="11">
        <f>+Tapón!AS23</f>
        <v>3.9651735668364818</v>
      </c>
    </row>
    <row r="10" spans="1:16">
      <c r="A10" s="10"/>
      <c r="B10" s="10"/>
      <c r="C10" s="11"/>
      <c r="D10" s="11"/>
      <c r="E10" s="11"/>
      <c r="F10" s="11"/>
      <c r="G10" s="11"/>
      <c r="H10" s="65"/>
      <c r="I10" s="11"/>
      <c r="J10" s="65"/>
      <c r="K10" s="11"/>
      <c r="L10" s="11"/>
      <c r="M10" s="11"/>
      <c r="N10" s="11"/>
      <c r="O10" s="11"/>
      <c r="P10" s="11"/>
    </row>
  </sheetData>
  <mergeCells count="2">
    <mergeCell ref="K2:N2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9"/>
  <sheetViews>
    <sheetView topLeftCell="C1" workbookViewId="0">
      <selection activeCell="H30" sqref="H30"/>
    </sheetView>
  </sheetViews>
  <sheetFormatPr baseColWidth="10" defaultRowHeight="15"/>
  <cols>
    <col min="1" max="10" width="11.42578125" style="42"/>
    <col min="11" max="12" width="11.42578125" style="42" hidden="1" customWidth="1"/>
    <col min="13" max="14" width="14.7109375" style="42" hidden="1" customWidth="1"/>
    <col min="15" max="15" width="16.85546875" style="42" hidden="1" customWidth="1"/>
    <col min="16" max="16" width="15.7109375" style="42" hidden="1" customWidth="1"/>
    <col min="17" max="18" width="14.7109375" style="42" hidden="1" customWidth="1"/>
    <col min="19" max="29" width="11.42578125" style="42" hidden="1" customWidth="1"/>
    <col min="30" max="32" width="14.7109375" style="42" hidden="1" customWidth="1"/>
    <col min="33" max="34" width="11.42578125" style="42" hidden="1" customWidth="1"/>
    <col min="35" max="37" width="11.42578125" style="42"/>
    <col min="38" max="39" width="11.42578125" style="42" customWidth="1"/>
    <col min="40" max="41" width="14.7109375" style="42" customWidth="1"/>
    <col min="42" max="42" width="15.140625" style="42" customWidth="1"/>
    <col min="43" max="16384" width="11.42578125" style="42"/>
  </cols>
  <sheetData>
    <row r="1" spans="1:50">
      <c r="A1" s="4" t="s">
        <v>35</v>
      </c>
      <c r="F1" s="3"/>
      <c r="G1" s="3"/>
      <c r="H1" s="4" t="s">
        <v>36</v>
      </c>
      <c r="M1" s="4" t="s">
        <v>88</v>
      </c>
      <c r="AF1" s="2"/>
    </row>
    <row r="2" spans="1:50">
      <c r="A2" s="5" t="s">
        <v>4</v>
      </c>
      <c r="D2" s="44">
        <v>2.4</v>
      </c>
      <c r="E2" s="13" t="s">
        <v>0</v>
      </c>
      <c r="H2" s="5" t="s">
        <v>30</v>
      </c>
      <c r="I2" s="44"/>
      <c r="J2" s="43">
        <v>70</v>
      </c>
      <c r="K2" s="45" t="s">
        <v>33</v>
      </c>
      <c r="M2" s="5" t="s">
        <v>49</v>
      </c>
      <c r="N2" s="3">
        <v>1.5</v>
      </c>
      <c r="O2" s="45" t="s">
        <v>51</v>
      </c>
      <c r="P2" s="45"/>
      <c r="X2" s="2"/>
      <c r="Y2" s="2"/>
      <c r="Z2" s="2"/>
    </row>
    <row r="3" spans="1:50">
      <c r="A3" s="5" t="s">
        <v>5</v>
      </c>
      <c r="D3" s="44">
        <v>7.85</v>
      </c>
      <c r="E3" s="13" t="s">
        <v>0</v>
      </c>
      <c r="H3" s="5" t="s">
        <v>32</v>
      </c>
      <c r="I3" s="44"/>
      <c r="J3" s="43">
        <v>12</v>
      </c>
      <c r="K3" s="45" t="s">
        <v>33</v>
      </c>
      <c r="M3" s="5" t="s">
        <v>50</v>
      </c>
      <c r="N3" s="3">
        <v>1.8</v>
      </c>
      <c r="O3" s="45" t="s">
        <v>52</v>
      </c>
      <c r="P3" s="45"/>
      <c r="X3" s="2"/>
      <c r="Y3" s="2"/>
      <c r="Z3" s="2"/>
    </row>
    <row r="4" spans="1:50">
      <c r="A4" s="5" t="s">
        <v>6</v>
      </c>
      <c r="D4" s="44">
        <v>1.8</v>
      </c>
      <c r="E4" s="13" t="s">
        <v>0</v>
      </c>
      <c r="H4" s="5" t="s">
        <v>31</v>
      </c>
      <c r="I4" s="44"/>
      <c r="J4" s="43">
        <v>250</v>
      </c>
      <c r="K4" s="45" t="s">
        <v>33</v>
      </c>
      <c r="M4" s="5" t="s">
        <v>63</v>
      </c>
      <c r="N4" s="3">
        <v>3</v>
      </c>
      <c r="O4" s="45" t="s">
        <v>64</v>
      </c>
      <c r="X4" s="2"/>
      <c r="Y4" s="2"/>
      <c r="Z4" s="2"/>
    </row>
    <row r="5" spans="1:50">
      <c r="A5" s="5" t="s">
        <v>34</v>
      </c>
      <c r="D5" s="44">
        <v>0.56999999999999995</v>
      </c>
      <c r="E5" s="5"/>
      <c r="H5" s="5" t="s">
        <v>91</v>
      </c>
      <c r="I5" s="44"/>
      <c r="J5" s="43">
        <v>0.88800000000000001</v>
      </c>
      <c r="K5" s="45" t="s">
        <v>92</v>
      </c>
      <c r="X5" s="2"/>
      <c r="Y5" s="2"/>
      <c r="Z5" s="2"/>
    </row>
    <row r="6" spans="1:50">
      <c r="A6" s="5" t="s">
        <v>123</v>
      </c>
      <c r="D6" s="44">
        <f>+D7*D8</f>
        <v>10</v>
      </c>
      <c r="E6" s="13" t="s">
        <v>1</v>
      </c>
      <c r="F6" s="45"/>
      <c r="G6" s="45"/>
      <c r="H6" s="8"/>
      <c r="I6" s="44"/>
      <c r="J6" s="43"/>
      <c r="X6" s="2"/>
      <c r="Y6" s="2"/>
      <c r="Z6" s="2"/>
    </row>
    <row r="7" spans="1:50">
      <c r="A7" s="5" t="s">
        <v>131</v>
      </c>
      <c r="D7" s="44">
        <v>20</v>
      </c>
      <c r="E7" s="13" t="s">
        <v>1</v>
      </c>
      <c r="F7" s="88" t="s">
        <v>130</v>
      </c>
      <c r="G7" s="88"/>
      <c r="H7" s="89"/>
      <c r="I7" s="90"/>
      <c r="J7" s="91"/>
      <c r="X7" s="2"/>
      <c r="Y7" s="2"/>
      <c r="Z7" s="2"/>
    </row>
    <row r="8" spans="1:50">
      <c r="A8" s="5" t="s">
        <v>129</v>
      </c>
      <c r="D8" s="44">
        <v>0.5</v>
      </c>
      <c r="E8" s="13"/>
      <c r="F8" s="45"/>
      <c r="G8" s="45"/>
      <c r="H8" s="8"/>
      <c r="I8" s="44"/>
      <c r="J8" s="43"/>
      <c r="X8" s="2"/>
      <c r="Y8" s="2"/>
      <c r="Z8" s="2"/>
    </row>
    <row r="9" spans="1:50">
      <c r="A9" s="5" t="s">
        <v>69</v>
      </c>
      <c r="D9" s="44">
        <v>1</v>
      </c>
      <c r="E9" s="13" t="s">
        <v>47</v>
      </c>
      <c r="H9" s="8"/>
      <c r="I9" s="44"/>
      <c r="J9" s="43"/>
      <c r="X9" s="2"/>
      <c r="Y9" s="2"/>
      <c r="Z9" s="2"/>
    </row>
    <row r="10" spans="1:50">
      <c r="A10" s="5"/>
      <c r="E10" s="43"/>
      <c r="H10" s="8"/>
      <c r="I10" s="44"/>
      <c r="J10" s="43"/>
      <c r="X10" s="2"/>
      <c r="Y10" s="2"/>
      <c r="Z10" s="2"/>
    </row>
    <row r="11" spans="1:50">
      <c r="A11" s="5" t="s">
        <v>37</v>
      </c>
      <c r="B11" s="45" t="s">
        <v>2</v>
      </c>
      <c r="D11" s="44"/>
      <c r="E11" s="43"/>
      <c r="H11" s="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X11" s="44"/>
      <c r="Y11" s="44"/>
      <c r="Z11" s="44"/>
      <c r="AA11" s="44"/>
      <c r="AB11" s="43"/>
      <c r="AC11" s="43"/>
      <c r="AD11" s="43"/>
      <c r="AE11" s="43"/>
    </row>
    <row r="12" spans="1:50">
      <c r="A12" s="5" t="s">
        <v>38</v>
      </c>
      <c r="B12" s="45" t="s">
        <v>3</v>
      </c>
      <c r="D12" s="44"/>
      <c r="E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X12" s="44"/>
      <c r="Y12" s="44"/>
      <c r="Z12" s="44"/>
      <c r="AA12" s="44"/>
      <c r="AB12" s="43"/>
      <c r="AC12" s="43"/>
      <c r="AD12" s="43"/>
      <c r="AE12" s="43"/>
    </row>
    <row r="13" spans="1:50">
      <c r="A13" s="5" t="s">
        <v>39</v>
      </c>
      <c r="B13" s="45" t="s">
        <v>40</v>
      </c>
      <c r="D13" s="44"/>
      <c r="E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X13" s="44"/>
      <c r="Y13" s="44"/>
      <c r="Z13" s="44"/>
      <c r="AA13" s="44"/>
      <c r="AB13" s="43"/>
      <c r="AC13" s="43"/>
      <c r="AD13" s="43"/>
      <c r="AE13" s="43"/>
    </row>
    <row r="14" spans="1:50">
      <c r="A14" s="5" t="s">
        <v>41</v>
      </c>
      <c r="B14" s="45" t="s">
        <v>42</v>
      </c>
      <c r="D14" s="44"/>
      <c r="E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X14" s="44"/>
      <c r="Y14" s="44"/>
      <c r="Z14" s="44"/>
      <c r="AA14" s="44"/>
      <c r="AB14" s="43"/>
      <c r="AC14" s="43"/>
      <c r="AD14" s="43"/>
      <c r="AE14" s="43"/>
    </row>
    <row r="15" spans="1:50" s="96" customFormat="1">
      <c r="A15" s="5"/>
      <c r="B15" s="45"/>
      <c r="D15" s="44"/>
      <c r="E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X15" s="44"/>
      <c r="Y15" s="44"/>
      <c r="Z15" s="44"/>
      <c r="AA15" s="44"/>
      <c r="AB15" s="43"/>
      <c r="AC15" s="43"/>
      <c r="AD15" s="43"/>
      <c r="AE15" s="43"/>
    </row>
    <row r="16" spans="1:50" ht="15.75" customHeight="1">
      <c r="A16" s="99"/>
      <c r="B16" s="99"/>
      <c r="C16" s="99"/>
      <c r="D16" s="99"/>
      <c r="E16" s="138" t="s">
        <v>132</v>
      </c>
      <c r="F16" s="138"/>
      <c r="G16" s="138"/>
      <c r="H16" s="138"/>
      <c r="I16" s="138"/>
      <c r="J16" s="138"/>
      <c r="K16" s="138"/>
      <c r="L16" s="138"/>
      <c r="M16" s="131" t="s">
        <v>57</v>
      </c>
      <c r="N16" s="131"/>
      <c r="O16" s="131"/>
      <c r="P16" s="138" t="s">
        <v>27</v>
      </c>
      <c r="Q16" s="138"/>
      <c r="R16" s="138"/>
      <c r="S16" s="138"/>
      <c r="T16" s="138" t="s">
        <v>43</v>
      </c>
      <c r="U16" s="138"/>
      <c r="V16" s="138"/>
      <c r="W16" s="138"/>
      <c r="X16" s="138" t="s">
        <v>44</v>
      </c>
      <c r="Y16" s="138"/>
      <c r="Z16" s="138"/>
      <c r="AA16" s="138"/>
      <c r="AB16" s="139" t="s">
        <v>136</v>
      </c>
      <c r="AC16" s="139"/>
      <c r="AD16" s="98" t="s">
        <v>137</v>
      </c>
      <c r="AE16" s="138" t="s">
        <v>48</v>
      </c>
      <c r="AF16" s="138"/>
      <c r="AG16" s="138"/>
      <c r="AH16" s="138"/>
      <c r="AI16" s="138" t="s">
        <v>133</v>
      </c>
      <c r="AJ16" s="138"/>
      <c r="AK16" s="138"/>
      <c r="AL16" s="138"/>
      <c r="AM16" s="138"/>
      <c r="AN16" s="138"/>
      <c r="AO16" s="97"/>
      <c r="AP16" s="97"/>
      <c r="AQ16" s="97"/>
      <c r="AR16" s="97"/>
      <c r="AS16" s="97"/>
      <c r="AT16" s="97"/>
      <c r="AU16" s="144"/>
      <c r="AV16" s="144"/>
      <c r="AW16" s="144"/>
      <c r="AX16" s="144"/>
    </row>
    <row r="17" spans="1:40" ht="20.25" customHeight="1">
      <c r="A17" s="52" t="s">
        <v>7</v>
      </c>
      <c r="B17" s="46" t="s">
        <v>14</v>
      </c>
      <c r="C17" s="52" t="s">
        <v>15</v>
      </c>
      <c r="D17" s="16" t="s">
        <v>8</v>
      </c>
      <c r="E17" s="62" t="s">
        <v>97</v>
      </c>
      <c r="F17" s="23" t="s">
        <v>19</v>
      </c>
      <c r="G17" s="23" t="s">
        <v>89</v>
      </c>
      <c r="H17" s="23" t="s">
        <v>81</v>
      </c>
      <c r="I17" s="47" t="s">
        <v>21</v>
      </c>
      <c r="J17" s="28" t="s">
        <v>20</v>
      </c>
      <c r="K17" s="84" t="s">
        <v>22</v>
      </c>
      <c r="L17" s="94" t="s">
        <v>61</v>
      </c>
      <c r="M17" s="84" t="s">
        <v>90</v>
      </c>
      <c r="N17" s="84" t="s">
        <v>60</v>
      </c>
      <c r="O17" s="85" t="s">
        <v>25</v>
      </c>
      <c r="P17" s="84" t="s">
        <v>20</v>
      </c>
      <c r="Q17" s="84" t="s">
        <v>28</v>
      </c>
      <c r="R17" s="84" t="s">
        <v>19</v>
      </c>
      <c r="S17" s="85" t="s">
        <v>58</v>
      </c>
      <c r="T17" s="22" t="s">
        <v>20</v>
      </c>
      <c r="U17" s="84" t="s">
        <v>28</v>
      </c>
      <c r="V17" s="84" t="s">
        <v>81</v>
      </c>
      <c r="W17" s="85" t="s">
        <v>82</v>
      </c>
      <c r="X17" s="28" t="s">
        <v>95</v>
      </c>
      <c r="Y17" s="46" t="s">
        <v>96</v>
      </c>
      <c r="Z17" s="28" t="s">
        <v>93</v>
      </c>
      <c r="AA17" s="85" t="s">
        <v>94</v>
      </c>
      <c r="AB17" s="103" t="s">
        <v>134</v>
      </c>
      <c r="AC17" s="102" t="s">
        <v>135</v>
      </c>
      <c r="AD17" s="22" t="s">
        <v>135</v>
      </c>
      <c r="AE17" s="22" t="s">
        <v>39</v>
      </c>
      <c r="AF17" s="46" t="s">
        <v>41</v>
      </c>
      <c r="AG17" s="46" t="s">
        <v>37</v>
      </c>
      <c r="AH17" s="94" t="s">
        <v>38</v>
      </c>
      <c r="AI17" s="140" t="s">
        <v>55</v>
      </c>
      <c r="AJ17" s="141"/>
      <c r="AK17" s="140" t="s">
        <v>56</v>
      </c>
      <c r="AL17" s="141"/>
      <c r="AM17" s="142" t="s">
        <v>62</v>
      </c>
      <c r="AN17" s="143"/>
    </row>
    <row r="18" spans="1:40">
      <c r="A18" s="15" t="s">
        <v>9</v>
      </c>
      <c r="B18" s="14" t="s">
        <v>10</v>
      </c>
      <c r="C18" s="15" t="s">
        <v>11</v>
      </c>
      <c r="D18" s="17" t="s">
        <v>12</v>
      </c>
      <c r="E18" s="62" t="s">
        <v>59</v>
      </c>
      <c r="F18" s="23" t="s">
        <v>16</v>
      </c>
      <c r="G18" s="23" t="s">
        <v>16</v>
      </c>
      <c r="H18" s="23" t="s">
        <v>16</v>
      </c>
      <c r="I18" s="23" t="s">
        <v>23</v>
      </c>
      <c r="J18" s="28" t="s">
        <v>16</v>
      </c>
      <c r="K18" s="25" t="s">
        <v>23</v>
      </c>
      <c r="L18" s="82" t="s">
        <v>24</v>
      </c>
      <c r="M18" s="25" t="s">
        <v>24</v>
      </c>
      <c r="N18" s="25" t="s">
        <v>24</v>
      </c>
      <c r="O18" s="17" t="s">
        <v>12</v>
      </c>
      <c r="P18" s="25" t="s">
        <v>16</v>
      </c>
      <c r="Q18" s="25" t="s">
        <v>29</v>
      </c>
      <c r="R18" s="25" t="s">
        <v>16</v>
      </c>
      <c r="S18" s="17" t="s">
        <v>29</v>
      </c>
      <c r="T18" s="25" t="s">
        <v>16</v>
      </c>
      <c r="U18" s="25" t="s">
        <v>29</v>
      </c>
      <c r="V18" s="25" t="s">
        <v>16</v>
      </c>
      <c r="W18" s="17" t="s">
        <v>29</v>
      </c>
      <c r="X18" s="25" t="s">
        <v>16</v>
      </c>
      <c r="Y18" s="14" t="s">
        <v>29</v>
      </c>
      <c r="Z18" s="25" t="s">
        <v>16</v>
      </c>
      <c r="AA18" s="17" t="s">
        <v>29</v>
      </c>
      <c r="AB18" s="104" t="s">
        <v>16</v>
      </c>
      <c r="AC18" s="102" t="s">
        <v>12</v>
      </c>
      <c r="AD18" s="14" t="s">
        <v>12</v>
      </c>
      <c r="AE18" s="24" t="s">
        <v>12</v>
      </c>
      <c r="AF18" s="14" t="s">
        <v>12</v>
      </c>
      <c r="AG18" s="14" t="s">
        <v>12</v>
      </c>
      <c r="AH18" s="14" t="s">
        <v>12</v>
      </c>
      <c r="AI18" s="22" t="s">
        <v>53</v>
      </c>
      <c r="AJ18" s="85" t="s">
        <v>54</v>
      </c>
      <c r="AK18" s="22" t="s">
        <v>53</v>
      </c>
      <c r="AL18" s="85" t="s">
        <v>54</v>
      </c>
      <c r="AM18" s="95" t="s">
        <v>53</v>
      </c>
      <c r="AN18" s="61" t="s">
        <v>54</v>
      </c>
    </row>
    <row r="19" spans="1:40">
      <c r="A19" s="54">
        <v>90</v>
      </c>
      <c r="B19" s="10">
        <v>45</v>
      </c>
      <c r="C19" s="10">
        <v>10</v>
      </c>
      <c r="D19" s="18">
        <f>2*(C19/0.0001)*(PI()*(A19/1000)^2/4)*SIN(RADIANS(B19)/2)/1000</f>
        <v>0.48690536120632044</v>
      </c>
      <c r="E19" s="126">
        <v>2.5</v>
      </c>
      <c r="F19" s="55">
        <f t="shared" ref="F19:F26" si="0">+E19*(A19/1000)</f>
        <v>0.22499999999999998</v>
      </c>
      <c r="G19" s="55">
        <f t="shared" ref="G19:G26" si="1">+F19*COS(RADIANS(B19/2))</f>
        <v>0.20787289481503948</v>
      </c>
      <c r="H19" s="55">
        <f t="shared" ref="H19:H26" si="2">+F19*SIN(RADIANS(B19/2))*2</f>
        <v>0.17220754456429038</v>
      </c>
      <c r="I19" s="55">
        <f>0.5*H19*G19</f>
        <v>1.7898640398784478E-2</v>
      </c>
      <c r="J19" s="73">
        <v>0.5</v>
      </c>
      <c r="K19" s="27">
        <f>+(F19*2+H19)*J19</f>
        <v>0.31110377228214514</v>
      </c>
      <c r="L19" s="50">
        <f>+I19*J19</f>
        <v>8.949320199392239E-3</v>
      </c>
      <c r="M19" s="100">
        <f t="shared" ref="M19:M26" si="3">+PI()*(A19/1000)^2/4*(A19/1000)*RADIANS(B19)</f>
        <v>4.4968385052463383E-4</v>
      </c>
      <c r="N19" s="49">
        <f>+L19-M19</f>
        <v>8.4996363488676046E-3</v>
      </c>
      <c r="O19" s="18">
        <f>+N19*$D$2</f>
        <v>2.0399127237282249E-2</v>
      </c>
      <c r="P19" s="27">
        <f>+J19</f>
        <v>0.5</v>
      </c>
      <c r="Q19" s="27">
        <f t="shared" ref="Q19:Q26" si="4">+ROUND((F19-2*($J$2/1000))/($J$4/1000),0)+1</f>
        <v>1</v>
      </c>
      <c r="R19" s="27">
        <f t="shared" ref="R19:R26" si="5">+F19</f>
        <v>0.22499999999999998</v>
      </c>
      <c r="S19" s="18">
        <f>+ROUND((J19-2*($J$2/1000))/($J$4/1000),0)+1</f>
        <v>2</v>
      </c>
      <c r="T19" s="27">
        <f>+J19</f>
        <v>0.5</v>
      </c>
      <c r="U19" s="27">
        <f t="shared" ref="U19:U26" si="6">+ROUND((H19-2*($J$2/1000))/($J$4/1000),0)+1</f>
        <v>1</v>
      </c>
      <c r="V19" s="27">
        <f>+H19</f>
        <v>0.17220754456429038</v>
      </c>
      <c r="W19" s="18">
        <f>+ROUND((J19-2*($J$2/1000))/($J$4/1000),0)+1</f>
        <v>2</v>
      </c>
      <c r="X19" s="27">
        <f t="shared" ref="X19:X26" si="7">+TAN(RADIANS(180-(B19)/2-90))*H19/4</f>
        <v>0.10393644740751974</v>
      </c>
      <c r="Y19" s="11">
        <f>+ROUND((H19-2*($J$2/1000))/($J$4/1000),0)+1</f>
        <v>1</v>
      </c>
      <c r="Z19" s="27">
        <f t="shared" ref="Z19:Z26" si="8">+H19/2</f>
        <v>8.6103772282145191E-2</v>
      </c>
      <c r="AA19" s="18">
        <f t="shared" ref="AA19:AA26" si="9">+ROUND((G19-2*($J$2/1000))/($J$4/1000),0)+1</f>
        <v>1</v>
      </c>
      <c r="AB19" s="27">
        <f>+(P19*Q19+R19*S19)*2+(T19*U19+V19*W19)+(X19*Y19+Z19*AA19)*2</f>
        <v>3.1244955285079103</v>
      </c>
      <c r="AC19" s="18">
        <f>+AB19*$J$5/1000</f>
        <v>2.7745520293150244E-3</v>
      </c>
      <c r="AD19" s="21">
        <f>+O19+AC19</f>
        <v>2.3173679266597275E-2</v>
      </c>
      <c r="AE19" s="27">
        <f>+AD19</f>
        <v>2.3173679266597275E-2</v>
      </c>
      <c r="AF19" s="11">
        <f t="shared" ref="AF19:AF26" si="10">+I19*($D$9-(J19/2-A19/2000))*$D$4</f>
        <v>2.5612954410660586E-2</v>
      </c>
      <c r="AG19" s="11">
        <f>+$D$5*(AE19+AF19)</f>
        <v>2.7808381196036975E-2</v>
      </c>
      <c r="AH19" s="18">
        <f>+(J19*H19)*$D$6</f>
        <v>0.86103772282145186</v>
      </c>
      <c r="AI19" s="27">
        <f t="shared" ref="AI19:AI26" si="11">+(AG19+AH19)/D19</f>
        <v>1.8255007540178856</v>
      </c>
      <c r="AJ19" s="18" t="str">
        <f>+IF(AI19&gt;$N$2,"CUMPLE",IF(AI19=$N$2,"CUMPLE","NO CUMPLE"))</f>
        <v>CUMPLE</v>
      </c>
      <c r="AK19" s="26">
        <f t="shared" ref="AK19:AK26" si="12">+(AE19*G19/2+AF19*G19/2+AH19*J19/2)/(D19*J19/2)</f>
        <v>1.8100448887633989</v>
      </c>
      <c r="AL19" s="18" t="str">
        <f>+IF(AK19&gt;$N$3,"CUMPLE",IF(AK19=$N$3,"CUMPLE","NO CUMPLE"))</f>
        <v>CUMPLE</v>
      </c>
      <c r="AM19" s="92">
        <f>+$D$7/((AE19+AF19)/I19)</f>
        <v>7.337518106779326</v>
      </c>
      <c r="AN19" s="56" t="str">
        <f t="shared" ref="AN19:AN29" si="13">+IF(AM19&gt;$N$4,"CUMPLE",IF(AM19=$N$4,"CUMPLE","NO CUMPLE"))</f>
        <v>CUMPLE</v>
      </c>
    </row>
    <row r="20" spans="1:40">
      <c r="A20" s="54">
        <v>110</v>
      </c>
      <c r="B20" s="10">
        <v>45</v>
      </c>
      <c r="C20" s="10">
        <v>10</v>
      </c>
      <c r="D20" s="18">
        <f t="shared" ref="D20:D26" si="14">2*(C20/0.0001)*(PI()*(A20/1000)^2/4)*SIN(RADIANS(B20)/2)/1000</f>
        <v>0.72735245316005903</v>
      </c>
      <c r="E20" s="126">
        <v>3</v>
      </c>
      <c r="F20" s="55">
        <f t="shared" si="0"/>
        <v>0.33</v>
      </c>
      <c r="G20" s="55">
        <f t="shared" si="1"/>
        <v>0.30488024572872463</v>
      </c>
      <c r="H20" s="55">
        <f t="shared" si="2"/>
        <v>0.25257106536095925</v>
      </c>
      <c r="I20" s="55">
        <f t="shared" ref="I20:I26" si="15">0.5*H20*G20</f>
        <v>3.8501964235607512E-2</v>
      </c>
      <c r="J20" s="73">
        <v>0.5</v>
      </c>
      <c r="K20" s="27">
        <f t="shared" ref="K20:K26" si="16">+(F20*2+H20)*J20</f>
        <v>0.45628553268047967</v>
      </c>
      <c r="L20" s="50">
        <f t="shared" ref="L20:L26" si="17">+I20*J20</f>
        <v>1.9250982117803756E-2</v>
      </c>
      <c r="M20" s="100">
        <f t="shared" si="3"/>
        <v>8.210277161156209E-4</v>
      </c>
      <c r="N20" s="49">
        <f t="shared" ref="N20:N26" si="18">+L20-M20</f>
        <v>1.8429954401688136E-2</v>
      </c>
      <c r="O20" s="18">
        <f t="shared" ref="O20:O26" si="19">+N20*$D$2</f>
        <v>4.4231890564051524E-2</v>
      </c>
      <c r="P20" s="27">
        <f t="shared" ref="P20:P26" si="20">+J20</f>
        <v>0.5</v>
      </c>
      <c r="Q20" s="27">
        <f t="shared" si="4"/>
        <v>2</v>
      </c>
      <c r="R20" s="27">
        <f t="shared" si="5"/>
        <v>0.33</v>
      </c>
      <c r="S20" s="18">
        <f t="shared" ref="S20:S26" si="21">+ROUND((J20-2*($J$2/1000))/($J$4/1000),0)+1</f>
        <v>2</v>
      </c>
      <c r="T20" s="27">
        <f t="shared" ref="T20:T26" si="22">+J20</f>
        <v>0.5</v>
      </c>
      <c r="U20" s="27">
        <f t="shared" si="6"/>
        <v>1</v>
      </c>
      <c r="V20" s="27">
        <f t="shared" ref="V20:V26" si="23">+H20</f>
        <v>0.25257106536095925</v>
      </c>
      <c r="W20" s="18">
        <f t="shared" ref="W20:W26" si="24">+ROUND((J20-2*($J$2/1000))/($J$4/1000),0)+1</f>
        <v>2</v>
      </c>
      <c r="X20" s="27">
        <f t="shared" si="7"/>
        <v>0.15244012286436232</v>
      </c>
      <c r="Y20" s="11">
        <f t="shared" ref="Y20:Y26" si="25">+ROUND((H20-2*($J$2/1000))/($J$4/1000),0)+1</f>
        <v>1</v>
      </c>
      <c r="Z20" s="27">
        <f t="shared" si="8"/>
        <v>0.12628553268047962</v>
      </c>
      <c r="AA20" s="18">
        <f t="shared" si="9"/>
        <v>2</v>
      </c>
      <c r="AB20" s="27">
        <f t="shared" ref="AB20:AB26" si="26">+(P20*Q20+R20*S20)*2+(T20*U20+V20*W20)+(X20*Y20+Z20*AA20)*2</f>
        <v>5.1351645071725613</v>
      </c>
      <c r="AC20" s="18">
        <f t="shared" ref="AC20:AC26" si="27">+AB20*$J$5/1000</f>
        <v>4.5600260823692347E-3</v>
      </c>
      <c r="AD20" s="21">
        <f t="shared" ref="AD20:AD26" si="28">+O20+AC20</f>
        <v>4.8791916646420755E-2</v>
      </c>
      <c r="AE20" s="27">
        <f t="shared" ref="AE20:AE26" si="29">+AD20</f>
        <v>4.8791916646420755E-2</v>
      </c>
      <c r="AF20" s="11">
        <f t="shared" si="10"/>
        <v>5.5789346177395283E-2</v>
      </c>
      <c r="AG20" s="11">
        <f t="shared" ref="AG20:AG26" si="30">+$D$5*(AE20+AF20)</f>
        <v>5.9611319809575139E-2</v>
      </c>
      <c r="AH20" s="18">
        <f t="shared" ref="AH20:AH26" si="31">+(J20*H20)*$D$6</f>
        <v>1.2628553268047962</v>
      </c>
      <c r="AI20" s="27">
        <f t="shared" si="11"/>
        <v>1.8181923232248358</v>
      </c>
      <c r="AJ20" s="18" t="str">
        <f t="shared" ref="AJ20:AJ26" si="32">+IF(AI20&gt;$N$2,"CUMPLE",IF(AI20=$N$2,"CUMPLE","NO CUMPLE"))</f>
        <v>CUMPLE</v>
      </c>
      <c r="AK20" s="26">
        <f t="shared" si="12"/>
        <v>1.8239092248301716</v>
      </c>
      <c r="AL20" s="18" t="str">
        <f t="shared" ref="AL20:AL26" si="33">+IF(AK20&gt;$N$3,"CUMPLE",IF(AK20=$N$3,"CUMPLE","NO CUMPLE"))</f>
        <v>CUMPLE</v>
      </c>
      <c r="AM20" s="92">
        <f t="shared" ref="AM20:AM26" si="34">+$D$7/((AE20+AF20)/I20)</f>
        <v>7.3630712033895138</v>
      </c>
      <c r="AN20" s="56" t="str">
        <f t="shared" si="13"/>
        <v>CUMPLE</v>
      </c>
    </row>
    <row r="21" spans="1:40">
      <c r="A21" s="54">
        <v>125</v>
      </c>
      <c r="B21" s="10">
        <v>45</v>
      </c>
      <c r="C21" s="10">
        <v>10</v>
      </c>
      <c r="D21" s="18">
        <f t="shared" si="14"/>
        <v>0.93924645294429088</v>
      </c>
      <c r="E21" s="126">
        <v>3</v>
      </c>
      <c r="F21" s="55">
        <f t="shared" si="0"/>
        <v>0.375</v>
      </c>
      <c r="G21" s="55">
        <f t="shared" si="1"/>
        <v>0.3464548246917325</v>
      </c>
      <c r="H21" s="55">
        <f t="shared" si="2"/>
        <v>0.28701257427381732</v>
      </c>
      <c r="I21" s="55">
        <f t="shared" si="15"/>
        <v>4.9718445552179115E-2</v>
      </c>
      <c r="J21" s="73">
        <v>0.6</v>
      </c>
      <c r="K21" s="27">
        <f t="shared" si="16"/>
        <v>0.62220754456429028</v>
      </c>
      <c r="L21" s="50">
        <f t="shared" si="17"/>
        <v>2.9831067331307467E-2</v>
      </c>
      <c r="M21" s="100">
        <f t="shared" si="3"/>
        <v>1.2047856934923533E-3</v>
      </c>
      <c r="N21" s="49">
        <f t="shared" si="18"/>
        <v>2.8626281637815113E-2</v>
      </c>
      <c r="O21" s="18">
        <f t="shared" si="19"/>
        <v>6.8703075930756266E-2</v>
      </c>
      <c r="P21" s="27">
        <f t="shared" si="20"/>
        <v>0.6</v>
      </c>
      <c r="Q21" s="27">
        <f t="shared" si="4"/>
        <v>2</v>
      </c>
      <c r="R21" s="27">
        <f t="shared" si="5"/>
        <v>0.375</v>
      </c>
      <c r="S21" s="18">
        <f t="shared" si="21"/>
        <v>3</v>
      </c>
      <c r="T21" s="27">
        <f t="shared" si="22"/>
        <v>0.6</v>
      </c>
      <c r="U21" s="27">
        <f t="shared" si="6"/>
        <v>2</v>
      </c>
      <c r="V21" s="27">
        <f t="shared" si="23"/>
        <v>0.28701257427381732</v>
      </c>
      <c r="W21" s="18">
        <f t="shared" si="24"/>
        <v>3</v>
      </c>
      <c r="X21" s="27">
        <f t="shared" si="7"/>
        <v>0.17322741234586625</v>
      </c>
      <c r="Y21" s="11">
        <f t="shared" si="25"/>
        <v>2</v>
      </c>
      <c r="Z21" s="27">
        <f t="shared" si="8"/>
        <v>0.14350628713690866</v>
      </c>
      <c r="AA21" s="18">
        <f t="shared" si="9"/>
        <v>2</v>
      </c>
      <c r="AB21" s="27">
        <f t="shared" si="26"/>
        <v>7.9779725207525516</v>
      </c>
      <c r="AC21" s="18">
        <f t="shared" si="27"/>
        <v>7.0844395984282658E-3</v>
      </c>
      <c r="AD21" s="21">
        <f t="shared" si="28"/>
        <v>7.5787515529184529E-2</v>
      </c>
      <c r="AE21" s="27">
        <f t="shared" si="29"/>
        <v>7.5787515529184529E-2</v>
      </c>
      <c r="AF21" s="11">
        <f t="shared" si="10"/>
        <v>6.8238566520365834E-2</v>
      </c>
      <c r="AG21" s="11">
        <f t="shared" si="30"/>
        <v>8.2094866768243693E-2</v>
      </c>
      <c r="AH21" s="18">
        <f t="shared" si="31"/>
        <v>1.7220754456429037</v>
      </c>
      <c r="AI21" s="27">
        <f t="shared" si="11"/>
        <v>1.9208699769432693</v>
      </c>
      <c r="AJ21" s="18" t="str">
        <f t="shared" si="32"/>
        <v>CUMPLE</v>
      </c>
      <c r="AK21" s="26">
        <f t="shared" si="12"/>
        <v>1.9220084976949428</v>
      </c>
      <c r="AL21" s="18" t="str">
        <f t="shared" si="33"/>
        <v>CUMPLE</v>
      </c>
      <c r="AM21" s="92">
        <f t="shared" si="34"/>
        <v>6.9040891545010732</v>
      </c>
      <c r="AN21" s="56" t="str">
        <f t="shared" si="13"/>
        <v>CUMPLE</v>
      </c>
    </row>
    <row r="22" spans="1:40">
      <c r="A22" s="54">
        <v>140</v>
      </c>
      <c r="B22" s="10">
        <v>45</v>
      </c>
      <c r="C22" s="10">
        <v>10</v>
      </c>
      <c r="D22" s="18">
        <f t="shared" si="14"/>
        <v>1.1781907505733189</v>
      </c>
      <c r="E22" s="126">
        <v>3.5</v>
      </c>
      <c r="F22" s="55">
        <f t="shared" si="0"/>
        <v>0.49000000000000005</v>
      </c>
      <c r="G22" s="55">
        <f t="shared" si="1"/>
        <v>0.45270097093053052</v>
      </c>
      <c r="H22" s="55">
        <f t="shared" si="2"/>
        <v>0.37502976371778801</v>
      </c>
      <c r="I22" s="55">
        <f t="shared" si="15"/>
        <v>8.4888169081445045E-2</v>
      </c>
      <c r="J22" s="73">
        <v>0.6</v>
      </c>
      <c r="K22" s="27">
        <f t="shared" si="16"/>
        <v>0.81301785823067285</v>
      </c>
      <c r="L22" s="50">
        <f t="shared" si="17"/>
        <v>5.0932901448867023E-2</v>
      </c>
      <c r="M22" s="100">
        <f t="shared" si="3"/>
        <v>1.6926371547868252E-3</v>
      </c>
      <c r="N22" s="49">
        <f t="shared" si="18"/>
        <v>4.9240264294080197E-2</v>
      </c>
      <c r="O22" s="18">
        <f t="shared" si="19"/>
        <v>0.11817663430579246</v>
      </c>
      <c r="P22" s="27">
        <f t="shared" si="20"/>
        <v>0.6</v>
      </c>
      <c r="Q22" s="27">
        <f t="shared" si="4"/>
        <v>2</v>
      </c>
      <c r="R22" s="27">
        <f t="shared" si="5"/>
        <v>0.49000000000000005</v>
      </c>
      <c r="S22" s="18">
        <f t="shared" si="21"/>
        <v>3</v>
      </c>
      <c r="T22" s="27">
        <f t="shared" si="22"/>
        <v>0.6</v>
      </c>
      <c r="U22" s="27">
        <f t="shared" si="6"/>
        <v>2</v>
      </c>
      <c r="V22" s="27">
        <f t="shared" si="23"/>
        <v>0.37502976371778801</v>
      </c>
      <c r="W22" s="18">
        <f t="shared" si="24"/>
        <v>3</v>
      </c>
      <c r="X22" s="27">
        <f t="shared" si="7"/>
        <v>0.22635048546526526</v>
      </c>
      <c r="Y22" s="11">
        <f t="shared" si="25"/>
        <v>2</v>
      </c>
      <c r="Z22" s="27">
        <f t="shared" si="8"/>
        <v>0.18751488185889401</v>
      </c>
      <c r="AA22" s="18">
        <f t="shared" si="9"/>
        <v>2</v>
      </c>
      <c r="AB22" s="27">
        <f t="shared" si="26"/>
        <v>9.3205507604500006</v>
      </c>
      <c r="AC22" s="18">
        <f t="shared" si="27"/>
        <v>8.2766490752796008E-3</v>
      </c>
      <c r="AD22" s="21">
        <f t="shared" si="28"/>
        <v>0.12645328338107206</v>
      </c>
      <c r="AE22" s="27">
        <f t="shared" si="29"/>
        <v>0.12645328338107206</v>
      </c>
      <c r="AF22" s="11">
        <f t="shared" si="10"/>
        <v>0.11765500234688284</v>
      </c>
      <c r="AG22" s="11">
        <f t="shared" si="30"/>
        <v>0.13914172286493429</v>
      </c>
      <c r="AH22" s="18">
        <f t="shared" si="31"/>
        <v>2.2501785823067282</v>
      </c>
      <c r="AI22" s="27">
        <f t="shared" si="11"/>
        <v>2.0279571062741719</v>
      </c>
      <c r="AJ22" s="18" t="str">
        <f t="shared" si="32"/>
        <v>CUMPLE</v>
      </c>
      <c r="AK22" s="26">
        <f t="shared" si="12"/>
        <v>2.0661838312040728</v>
      </c>
      <c r="AL22" s="18" t="str">
        <f t="shared" si="33"/>
        <v>CUMPLE</v>
      </c>
      <c r="AM22" s="92">
        <f t="shared" si="34"/>
        <v>6.9549600766971249</v>
      </c>
      <c r="AN22" s="56" t="str">
        <f t="shared" si="13"/>
        <v>CUMPLE</v>
      </c>
    </row>
    <row r="23" spans="1:40">
      <c r="A23" s="54">
        <v>160</v>
      </c>
      <c r="B23" s="10">
        <v>45</v>
      </c>
      <c r="C23" s="10">
        <v>10</v>
      </c>
      <c r="D23" s="18">
        <f t="shared" si="14"/>
        <v>1.5388613885039264</v>
      </c>
      <c r="E23" s="126">
        <v>3.5</v>
      </c>
      <c r="F23" s="55">
        <f t="shared" si="0"/>
        <v>0.56000000000000005</v>
      </c>
      <c r="G23" s="55">
        <f t="shared" si="1"/>
        <v>0.51737253820632068</v>
      </c>
      <c r="H23" s="55">
        <f t="shared" si="2"/>
        <v>0.42860544424890057</v>
      </c>
      <c r="I23" s="55">
        <f t="shared" si="15"/>
        <v>0.11087434329005068</v>
      </c>
      <c r="J23" s="73">
        <v>0.7</v>
      </c>
      <c r="K23" s="27">
        <f t="shared" si="16"/>
        <v>1.0840238109742304</v>
      </c>
      <c r="L23" s="50">
        <f t="shared" si="17"/>
        <v>7.7612040303035465E-2</v>
      </c>
      <c r="M23" s="100">
        <f t="shared" si="3"/>
        <v>2.5266187266788759E-3</v>
      </c>
      <c r="N23" s="49">
        <f t="shared" si="18"/>
        <v>7.5085421576356587E-2</v>
      </c>
      <c r="O23" s="18">
        <f t="shared" si="19"/>
        <v>0.18020501178325579</v>
      </c>
      <c r="P23" s="27">
        <f t="shared" si="20"/>
        <v>0.7</v>
      </c>
      <c r="Q23" s="27">
        <f t="shared" si="4"/>
        <v>3</v>
      </c>
      <c r="R23" s="27">
        <f t="shared" si="5"/>
        <v>0.56000000000000005</v>
      </c>
      <c r="S23" s="18">
        <f t="shared" si="21"/>
        <v>3</v>
      </c>
      <c r="T23" s="27">
        <f t="shared" si="22"/>
        <v>0.7</v>
      </c>
      <c r="U23" s="27">
        <f t="shared" si="6"/>
        <v>2</v>
      </c>
      <c r="V23" s="27">
        <f t="shared" si="23"/>
        <v>0.42860544424890057</v>
      </c>
      <c r="W23" s="18">
        <f t="shared" si="24"/>
        <v>3</v>
      </c>
      <c r="X23" s="27">
        <f t="shared" si="7"/>
        <v>0.25868626910316028</v>
      </c>
      <c r="Y23" s="11">
        <f t="shared" si="25"/>
        <v>2</v>
      </c>
      <c r="Z23" s="27">
        <f t="shared" si="8"/>
        <v>0.21430272212445028</v>
      </c>
      <c r="AA23" s="18">
        <f t="shared" si="9"/>
        <v>3</v>
      </c>
      <c r="AB23" s="27">
        <f t="shared" si="26"/>
        <v>12.566377741906043</v>
      </c>
      <c r="AC23" s="18">
        <f t="shared" si="27"/>
        <v>1.1158943434812567E-2</v>
      </c>
      <c r="AD23" s="21">
        <f t="shared" si="28"/>
        <v>0.19136395521806837</v>
      </c>
      <c r="AE23" s="27">
        <f t="shared" si="29"/>
        <v>0.19136395521806837</v>
      </c>
      <c r="AF23" s="11">
        <f t="shared" si="10"/>
        <v>0.14568888708312658</v>
      </c>
      <c r="AG23" s="11">
        <f t="shared" si="30"/>
        <v>0.19212012011168109</v>
      </c>
      <c r="AH23" s="18">
        <f t="shared" si="31"/>
        <v>3.0002381097423036</v>
      </c>
      <c r="AI23" s="27">
        <f t="shared" si="11"/>
        <v>2.0744936832534218</v>
      </c>
      <c r="AJ23" s="18" t="str">
        <f t="shared" si="32"/>
        <v>CUMPLE</v>
      </c>
      <c r="AK23" s="26">
        <f t="shared" si="12"/>
        <v>2.1115320144608822</v>
      </c>
      <c r="AL23" s="18" t="str">
        <f t="shared" si="33"/>
        <v>CUMPLE</v>
      </c>
      <c r="AM23" s="92">
        <f t="shared" si="34"/>
        <v>6.5790481120448101</v>
      </c>
      <c r="AN23" s="56" t="str">
        <f t="shared" si="13"/>
        <v>CUMPLE</v>
      </c>
    </row>
    <row r="24" spans="1:40">
      <c r="A24" s="54">
        <v>200</v>
      </c>
      <c r="B24" s="10">
        <v>45</v>
      </c>
      <c r="C24" s="10">
        <v>10</v>
      </c>
      <c r="D24" s="18">
        <f t="shared" si="14"/>
        <v>2.4044709195373852</v>
      </c>
      <c r="E24" s="126">
        <v>4</v>
      </c>
      <c r="F24" s="55">
        <f t="shared" si="0"/>
        <v>0.8</v>
      </c>
      <c r="G24" s="55">
        <f t="shared" si="1"/>
        <v>0.73910362600902946</v>
      </c>
      <c r="H24" s="55">
        <f t="shared" si="2"/>
        <v>0.61229349178414372</v>
      </c>
      <c r="I24" s="55">
        <f t="shared" si="15"/>
        <v>0.22627416997969527</v>
      </c>
      <c r="J24" s="73">
        <v>0.7</v>
      </c>
      <c r="K24" s="27">
        <f t="shared" si="16"/>
        <v>1.5486054442489006</v>
      </c>
      <c r="L24" s="50">
        <f t="shared" si="17"/>
        <v>0.15839191898578667</v>
      </c>
      <c r="M24" s="100">
        <f t="shared" si="3"/>
        <v>4.9348022005446801E-3</v>
      </c>
      <c r="N24" s="49">
        <f t="shared" si="18"/>
        <v>0.15345711678524199</v>
      </c>
      <c r="O24" s="18">
        <f t="shared" si="19"/>
        <v>0.36829708028458075</v>
      </c>
      <c r="P24" s="27">
        <f t="shared" si="20"/>
        <v>0.7</v>
      </c>
      <c r="Q24" s="27">
        <f t="shared" si="4"/>
        <v>4</v>
      </c>
      <c r="R24" s="27">
        <f t="shared" si="5"/>
        <v>0.8</v>
      </c>
      <c r="S24" s="18">
        <f t="shared" si="21"/>
        <v>3</v>
      </c>
      <c r="T24" s="27">
        <f t="shared" si="22"/>
        <v>0.7</v>
      </c>
      <c r="U24" s="27">
        <f t="shared" si="6"/>
        <v>3</v>
      </c>
      <c r="V24" s="27">
        <f t="shared" si="23"/>
        <v>0.61229349178414372</v>
      </c>
      <c r="W24" s="18">
        <f t="shared" si="24"/>
        <v>3</v>
      </c>
      <c r="X24" s="27">
        <f t="shared" si="7"/>
        <v>0.36955181300451473</v>
      </c>
      <c r="Y24" s="11">
        <f t="shared" si="25"/>
        <v>3</v>
      </c>
      <c r="Z24" s="27">
        <f t="shared" si="8"/>
        <v>0.30614674589207186</v>
      </c>
      <c r="AA24" s="18">
        <f t="shared" si="9"/>
        <v>3</v>
      </c>
      <c r="AB24" s="27">
        <f t="shared" si="26"/>
        <v>18.391071828731949</v>
      </c>
      <c r="AC24" s="18">
        <f t="shared" si="27"/>
        <v>1.633127178391397E-2</v>
      </c>
      <c r="AD24" s="21">
        <f t="shared" si="28"/>
        <v>0.38462835206849472</v>
      </c>
      <c r="AE24" s="27">
        <f t="shared" si="29"/>
        <v>0.38462835206849472</v>
      </c>
      <c r="AF24" s="11">
        <f t="shared" si="10"/>
        <v>0.30547012947258861</v>
      </c>
      <c r="AG24" s="11">
        <f t="shared" si="30"/>
        <v>0.39335613447841744</v>
      </c>
      <c r="AH24" s="18">
        <f t="shared" si="31"/>
        <v>4.2860544424890055</v>
      </c>
      <c r="AI24" s="27">
        <f t="shared" si="11"/>
        <v>1.9461289961733998</v>
      </c>
      <c r="AJ24" s="18" t="str">
        <f t="shared" si="32"/>
        <v>CUMPLE</v>
      </c>
      <c r="AK24" s="26">
        <f t="shared" si="12"/>
        <v>2.0855745800339647</v>
      </c>
      <c r="AL24" s="18" t="str">
        <f t="shared" si="33"/>
        <v>CUMPLE</v>
      </c>
      <c r="AM24" s="92">
        <f t="shared" si="34"/>
        <v>6.5577356285263635</v>
      </c>
      <c r="AN24" s="56" t="str">
        <f t="shared" si="13"/>
        <v>CUMPLE</v>
      </c>
    </row>
    <row r="25" spans="1:40">
      <c r="A25" s="54">
        <v>225</v>
      </c>
      <c r="B25" s="10">
        <v>45</v>
      </c>
      <c r="C25" s="10">
        <v>10</v>
      </c>
      <c r="D25" s="18">
        <f t="shared" si="14"/>
        <v>3.0431585075395033</v>
      </c>
      <c r="E25" s="126">
        <v>4</v>
      </c>
      <c r="F25" s="55">
        <f t="shared" si="0"/>
        <v>0.9</v>
      </c>
      <c r="G25" s="55">
        <f t="shared" si="1"/>
        <v>0.83149157926015804</v>
      </c>
      <c r="H25" s="55">
        <f t="shared" si="2"/>
        <v>0.68883017825716164</v>
      </c>
      <c r="I25" s="55">
        <f t="shared" si="15"/>
        <v>0.28637824638055176</v>
      </c>
      <c r="J25" s="73">
        <v>0.7</v>
      </c>
      <c r="K25" s="27">
        <f t="shared" si="16"/>
        <v>1.742181124780013</v>
      </c>
      <c r="L25" s="50">
        <f t="shared" si="17"/>
        <v>0.20046477246638622</v>
      </c>
      <c r="M25" s="100">
        <f t="shared" si="3"/>
        <v>7.0263101644474045E-3</v>
      </c>
      <c r="N25" s="49">
        <f t="shared" si="18"/>
        <v>0.19343846230193881</v>
      </c>
      <c r="O25" s="18">
        <f t="shared" si="19"/>
        <v>0.46425230952465313</v>
      </c>
      <c r="P25" s="27">
        <f t="shared" si="20"/>
        <v>0.7</v>
      </c>
      <c r="Q25" s="27">
        <f t="shared" si="4"/>
        <v>4</v>
      </c>
      <c r="R25" s="27">
        <f t="shared" si="5"/>
        <v>0.9</v>
      </c>
      <c r="S25" s="18">
        <f t="shared" si="21"/>
        <v>3</v>
      </c>
      <c r="T25" s="27">
        <f t="shared" si="22"/>
        <v>0.7</v>
      </c>
      <c r="U25" s="27">
        <f t="shared" si="6"/>
        <v>3</v>
      </c>
      <c r="V25" s="27">
        <f t="shared" si="23"/>
        <v>0.68883017825716164</v>
      </c>
      <c r="W25" s="18">
        <f t="shared" si="24"/>
        <v>3</v>
      </c>
      <c r="X25" s="27">
        <f t="shared" si="7"/>
        <v>0.41574578963007908</v>
      </c>
      <c r="Y25" s="11">
        <f t="shared" si="25"/>
        <v>3</v>
      </c>
      <c r="Z25" s="27">
        <f t="shared" si="8"/>
        <v>0.34441508912858082</v>
      </c>
      <c r="AA25" s="18">
        <f t="shared" si="9"/>
        <v>4</v>
      </c>
      <c r="AB25" s="27">
        <f t="shared" si="26"/>
        <v>20.416285985580604</v>
      </c>
      <c r="AC25" s="18">
        <f t="shared" si="27"/>
        <v>1.8129661955195577E-2</v>
      </c>
      <c r="AD25" s="21">
        <f t="shared" si="28"/>
        <v>0.48238197147984868</v>
      </c>
      <c r="AE25" s="27">
        <f t="shared" si="29"/>
        <v>0.48238197147984868</v>
      </c>
      <c r="AF25" s="11">
        <f t="shared" si="10"/>
        <v>0.39305414315730725</v>
      </c>
      <c r="AG25" s="11">
        <f t="shared" si="30"/>
        <v>0.49899858534317881</v>
      </c>
      <c r="AH25" s="18">
        <f t="shared" si="31"/>
        <v>4.8218112478001309</v>
      </c>
      <c r="AI25" s="27">
        <f t="shared" si="11"/>
        <v>1.7484497833290205</v>
      </c>
      <c r="AJ25" s="18" t="str">
        <f t="shared" si="32"/>
        <v>CUMPLE</v>
      </c>
      <c r="AK25" s="26">
        <f t="shared" si="12"/>
        <v>1.9261874608218355</v>
      </c>
      <c r="AL25" s="18" t="str">
        <f t="shared" si="33"/>
        <v>CUMPLE</v>
      </c>
      <c r="AM25" s="92">
        <f t="shared" si="34"/>
        <v>6.5425275835061401</v>
      </c>
      <c r="AN25" s="56" t="str">
        <f t="shared" si="13"/>
        <v>CUMPLE</v>
      </c>
    </row>
    <row r="26" spans="1:40">
      <c r="A26" s="54">
        <v>315</v>
      </c>
      <c r="B26" s="10">
        <v>45</v>
      </c>
      <c r="C26" s="10">
        <v>10</v>
      </c>
      <c r="D26" s="18">
        <f t="shared" si="14"/>
        <v>5.9645906747774262</v>
      </c>
      <c r="E26" s="126">
        <v>5</v>
      </c>
      <c r="F26" s="55">
        <f t="shared" si="0"/>
        <v>1.575</v>
      </c>
      <c r="G26" s="55">
        <f t="shared" si="1"/>
        <v>1.4551102637052766</v>
      </c>
      <c r="H26" s="55">
        <f t="shared" si="2"/>
        <v>1.2054528119500327</v>
      </c>
      <c r="I26" s="55">
        <f t="shared" si="15"/>
        <v>0.87703337954043969</v>
      </c>
      <c r="J26" s="73">
        <v>0.8</v>
      </c>
      <c r="K26" s="27">
        <f t="shared" si="16"/>
        <v>3.4843622495600259</v>
      </c>
      <c r="L26" s="50">
        <f t="shared" si="17"/>
        <v>0.7016267036323518</v>
      </c>
      <c r="M26" s="100">
        <f t="shared" si="3"/>
        <v>1.9280195091243679E-2</v>
      </c>
      <c r="N26" s="49">
        <f t="shared" si="18"/>
        <v>0.68234650854110812</v>
      </c>
      <c r="O26" s="18">
        <f t="shared" si="19"/>
        <v>1.6376316204986594</v>
      </c>
      <c r="P26" s="27">
        <f t="shared" si="20"/>
        <v>0.8</v>
      </c>
      <c r="Q26" s="27">
        <f t="shared" si="4"/>
        <v>7</v>
      </c>
      <c r="R26" s="27">
        <f t="shared" si="5"/>
        <v>1.575</v>
      </c>
      <c r="S26" s="18">
        <f t="shared" si="21"/>
        <v>4</v>
      </c>
      <c r="T26" s="27">
        <f t="shared" si="22"/>
        <v>0.8</v>
      </c>
      <c r="U26" s="27">
        <f t="shared" si="6"/>
        <v>5</v>
      </c>
      <c r="V26" s="27">
        <f t="shared" si="23"/>
        <v>1.2054528119500327</v>
      </c>
      <c r="W26" s="18">
        <f t="shared" si="24"/>
        <v>4</v>
      </c>
      <c r="X26" s="27">
        <f t="shared" si="7"/>
        <v>0.7275551318526382</v>
      </c>
      <c r="Y26" s="11">
        <f t="shared" si="25"/>
        <v>5</v>
      </c>
      <c r="Z26" s="27">
        <f t="shared" si="8"/>
        <v>0.60272640597501637</v>
      </c>
      <c r="AA26" s="18">
        <f t="shared" si="9"/>
        <v>6</v>
      </c>
      <c r="AB26" s="27">
        <f t="shared" si="26"/>
        <v>47.130079438026712</v>
      </c>
      <c r="AC26" s="18">
        <f t="shared" si="27"/>
        <v>4.1851510540967723E-2</v>
      </c>
      <c r="AD26" s="21">
        <f t="shared" si="28"/>
        <v>1.6794831310396272</v>
      </c>
      <c r="AE26" s="27">
        <f t="shared" si="29"/>
        <v>1.6794831310396272</v>
      </c>
      <c r="AF26" s="11">
        <f t="shared" si="10"/>
        <v>1.1958350130033895</v>
      </c>
      <c r="AG26" s="11">
        <f t="shared" si="30"/>
        <v>1.6389313421045193</v>
      </c>
      <c r="AH26" s="18">
        <f t="shared" si="31"/>
        <v>9.6436224956002619</v>
      </c>
      <c r="AI26" s="27">
        <f t="shared" si="11"/>
        <v>1.8915889543628743</v>
      </c>
      <c r="AJ26" s="18" t="str">
        <f t="shared" si="32"/>
        <v>CUMPLE</v>
      </c>
      <c r="AK26" s="26">
        <f t="shared" si="12"/>
        <v>2.4936335928322575</v>
      </c>
      <c r="AL26" s="18" t="str">
        <f t="shared" si="33"/>
        <v>CUMPLE</v>
      </c>
      <c r="AM26" s="92">
        <f t="shared" si="34"/>
        <v>6.1004267048322758</v>
      </c>
      <c r="AN26" s="56" t="str">
        <f t="shared" si="13"/>
        <v>CUMPLE</v>
      </c>
    </row>
    <row r="27" spans="1:40">
      <c r="A27" s="166">
        <v>400</v>
      </c>
      <c r="B27" s="10">
        <v>45</v>
      </c>
      <c r="C27" s="10">
        <v>10</v>
      </c>
      <c r="D27" s="18">
        <f t="shared" ref="D27:D29" si="35">2*(C27/0.0001)*(PI()*(A27/1000)^2/4)*SIN(RADIANS(B27)/2)/1000</f>
        <v>9.6178836781495409</v>
      </c>
      <c r="E27" s="126">
        <v>5</v>
      </c>
      <c r="F27" s="55">
        <f t="shared" ref="F27:F29" si="36">+E27*(A27/1000)</f>
        <v>2</v>
      </c>
      <c r="G27" s="55">
        <f t="shared" ref="G27:G29" si="37">+F27*COS(RADIANS(B27/2))</f>
        <v>1.8477590650225735</v>
      </c>
      <c r="H27" s="55">
        <f t="shared" ref="H27:H29" si="38">+F27*SIN(RADIANS(B27/2))*2</f>
        <v>1.5307337294603591</v>
      </c>
      <c r="I27" s="55">
        <f t="shared" ref="I27:I29" si="39">0.5*H27*G27</f>
        <v>1.4142135623730951</v>
      </c>
      <c r="J27" s="73">
        <v>0.8</v>
      </c>
      <c r="K27" s="27">
        <f t="shared" ref="K27:K29" si="40">+(F27*2+H27)*J27</f>
        <v>4.4245869835682878</v>
      </c>
      <c r="L27" s="50">
        <f t="shared" ref="L27:L29" si="41">+I27*J27</f>
        <v>1.1313708498984762</v>
      </c>
      <c r="M27" s="100">
        <f t="shared" ref="M27:M29" si="42">+PI()*(A27/1000)^2/4*(A27/1000)*RADIANS(B27)</f>
        <v>3.9478417604357441E-2</v>
      </c>
      <c r="N27" s="49">
        <f t="shared" ref="N27:N29" si="43">+L27-M27</f>
        <v>1.0918924322941188</v>
      </c>
      <c r="O27" s="18">
        <f t="shared" ref="O27:O29" si="44">+N27*$D$2</f>
        <v>2.6205418375058849</v>
      </c>
      <c r="P27" s="27">
        <f t="shared" ref="P27:P29" si="45">+J27</f>
        <v>0.8</v>
      </c>
      <c r="Q27" s="27">
        <f t="shared" ref="Q27:Q29" si="46">+ROUND((F27-2*($J$2/1000))/($J$4/1000),0)+1</f>
        <v>8</v>
      </c>
      <c r="R27" s="27">
        <f t="shared" ref="R27:R29" si="47">+F27</f>
        <v>2</v>
      </c>
      <c r="S27" s="18">
        <f t="shared" ref="S27:S29" si="48">+ROUND((J27-2*($J$2/1000))/($J$4/1000),0)+1</f>
        <v>4</v>
      </c>
      <c r="T27" s="27">
        <f t="shared" ref="T27:T29" si="49">+J27</f>
        <v>0.8</v>
      </c>
      <c r="U27" s="27">
        <f t="shared" ref="U27:U29" si="50">+ROUND((H27-2*($J$2/1000))/($J$4/1000),0)+1</f>
        <v>7</v>
      </c>
      <c r="V27" s="27">
        <f t="shared" ref="V27:V29" si="51">+H27</f>
        <v>1.5307337294603591</v>
      </c>
      <c r="W27" s="18">
        <f t="shared" ref="W27:W29" si="52">+ROUND((J27-2*($J$2/1000))/($J$4/1000),0)+1</f>
        <v>4</v>
      </c>
      <c r="X27" s="27">
        <f t="shared" ref="X27:X29" si="53">+TAN(RADIANS(180-(B27)/2-90))*H27/4</f>
        <v>0.92387953251128674</v>
      </c>
      <c r="Y27" s="11">
        <f t="shared" ref="Y27:Y29" si="54">+ROUND((H27-2*($J$2/1000))/($J$4/1000),0)+1</f>
        <v>7</v>
      </c>
      <c r="Z27" s="27">
        <f t="shared" ref="Z27:Z29" si="55">+H27/2</f>
        <v>0.76536686473017956</v>
      </c>
      <c r="AA27" s="18">
        <f t="shared" ref="AA27:AA29" si="56">+ROUND((G27-2*($J$2/1000))/($J$4/1000),0)+1</f>
        <v>8</v>
      </c>
      <c r="AB27" s="27">
        <f t="shared" ref="AB27:AB29" si="57">+(P27*Q27+R27*S27)*2+(T27*U27+V27*W27)+(X27*Y27+Z27*AA27)*2</f>
        <v>65.703118208682326</v>
      </c>
      <c r="AC27" s="18">
        <f t="shared" ref="AC27:AC29" si="58">+AB27*$J$5/1000</f>
        <v>5.8344368969309904E-2</v>
      </c>
      <c r="AD27" s="21">
        <f t="shared" ref="AD27:AD29" si="59">+O27+AC27</f>
        <v>2.6788862064751946</v>
      </c>
      <c r="AE27" s="27">
        <f t="shared" ref="AE27:AE29" si="60">+AD27</f>
        <v>2.6788862064751946</v>
      </c>
      <c r="AF27" s="11">
        <f t="shared" ref="AF27:AF29" si="61">+I27*($D$9-(J27/2-A27/2000))*$D$4</f>
        <v>2.0364675298172572</v>
      </c>
      <c r="AG27" s="11">
        <f t="shared" ref="AG27:AG29" si="62">+$D$5*(AE27+AF27)</f>
        <v>2.687751629686697</v>
      </c>
      <c r="AH27" s="18">
        <f t="shared" ref="AH27:AH29" si="63">+(J27*H27)*$D$6</f>
        <v>12.245869835682875</v>
      </c>
      <c r="AI27" s="27">
        <f t="shared" ref="AI27:AI29" si="64">+(AG27+AH27)/D27</f>
        <v>1.5526930835415103</v>
      </c>
      <c r="AJ27" s="18" t="str">
        <f t="shared" ref="AJ27:AJ29" si="65">+IF(AI27&gt;$N$2,"CUMPLE",IF(AI27=$N$2,"CUMPLE","NO CUMPLE"))</f>
        <v>CUMPLE</v>
      </c>
      <c r="AK27" s="26">
        <f t="shared" ref="AK27:AK29" si="66">+(AE27*G27/2+AF27*G27/2+AH27*J27/2)/(D27*J27/2)</f>
        <v>2.4056141271519742</v>
      </c>
      <c r="AL27" s="18" t="str">
        <f t="shared" ref="AL27:AL29" si="67">+IF(AK27&gt;$N$3,"CUMPLE",IF(AK27=$N$3,"CUMPLE","NO CUMPLE"))</f>
        <v>CUMPLE</v>
      </c>
      <c r="AM27" s="92">
        <f t="shared" ref="AM27:AM29" si="68">+$D$7/((AE27+AF27)/I27)</f>
        <v>5.9983349774519832</v>
      </c>
      <c r="AN27" s="56" t="str">
        <f t="shared" si="13"/>
        <v>CUMPLE</v>
      </c>
    </row>
    <row r="28" spans="1:40">
      <c r="A28" s="166">
        <v>500</v>
      </c>
      <c r="B28" s="10">
        <v>45</v>
      </c>
      <c r="C28" s="10">
        <v>10</v>
      </c>
      <c r="D28" s="18">
        <f t="shared" si="35"/>
        <v>15.027943247108654</v>
      </c>
      <c r="E28" s="126">
        <v>5</v>
      </c>
      <c r="F28" s="55">
        <f t="shared" si="36"/>
        <v>2.5</v>
      </c>
      <c r="G28" s="55">
        <f t="shared" si="37"/>
        <v>2.309698831278217</v>
      </c>
      <c r="H28" s="55">
        <f t="shared" si="38"/>
        <v>1.913417161825449</v>
      </c>
      <c r="I28" s="55">
        <f t="shared" si="39"/>
        <v>2.2097086912079611</v>
      </c>
      <c r="J28" s="73">
        <v>1</v>
      </c>
      <c r="K28" s="27">
        <f t="shared" si="40"/>
        <v>6.913417161825449</v>
      </c>
      <c r="L28" s="50">
        <f t="shared" si="41"/>
        <v>2.2097086912079611</v>
      </c>
      <c r="M28" s="100">
        <f t="shared" si="42"/>
        <v>7.7106284383510609E-2</v>
      </c>
      <c r="N28" s="49">
        <f t="shared" si="43"/>
        <v>2.1326024068244505</v>
      </c>
      <c r="O28" s="18">
        <f t="shared" si="44"/>
        <v>5.1182457763786813</v>
      </c>
      <c r="P28" s="27">
        <f t="shared" si="45"/>
        <v>1</v>
      </c>
      <c r="Q28" s="27">
        <f t="shared" si="46"/>
        <v>10</v>
      </c>
      <c r="R28" s="27">
        <f t="shared" si="47"/>
        <v>2.5</v>
      </c>
      <c r="S28" s="18">
        <f t="shared" si="48"/>
        <v>4</v>
      </c>
      <c r="T28" s="27">
        <f t="shared" si="49"/>
        <v>1</v>
      </c>
      <c r="U28" s="27">
        <f t="shared" si="50"/>
        <v>8</v>
      </c>
      <c r="V28" s="27">
        <f t="shared" si="51"/>
        <v>1.913417161825449</v>
      </c>
      <c r="W28" s="18">
        <f t="shared" si="52"/>
        <v>4</v>
      </c>
      <c r="X28" s="27">
        <f t="shared" si="53"/>
        <v>1.1548494156391085</v>
      </c>
      <c r="Y28" s="11">
        <f t="shared" si="54"/>
        <v>8</v>
      </c>
      <c r="Z28" s="27">
        <f t="shared" si="55"/>
        <v>0.95670858091272448</v>
      </c>
      <c r="AA28" s="18">
        <f t="shared" si="56"/>
        <v>10</v>
      </c>
      <c r="AB28" s="27">
        <f t="shared" si="57"/>
        <v>93.265430915782019</v>
      </c>
      <c r="AC28" s="18">
        <f t="shared" si="58"/>
        <v>8.2819702653214436E-2</v>
      </c>
      <c r="AD28" s="21">
        <f t="shared" si="59"/>
        <v>5.2010654790318958</v>
      </c>
      <c r="AE28" s="27">
        <f t="shared" si="60"/>
        <v>5.2010654790318958</v>
      </c>
      <c r="AF28" s="11">
        <f t="shared" si="61"/>
        <v>2.9831067331307475</v>
      </c>
      <c r="AG28" s="11">
        <f t="shared" si="62"/>
        <v>4.6649781609327059</v>
      </c>
      <c r="AH28" s="18">
        <f t="shared" si="63"/>
        <v>19.134171618254491</v>
      </c>
      <c r="AI28" s="27">
        <f t="shared" si="64"/>
        <v>1.5836598121147487</v>
      </c>
      <c r="AJ28" s="18" t="str">
        <f t="shared" si="65"/>
        <v>CUMPLE</v>
      </c>
      <c r="AK28" s="26">
        <f t="shared" si="66"/>
        <v>2.5310945074925324</v>
      </c>
      <c r="AL28" s="18" t="str">
        <f t="shared" si="67"/>
        <v>CUMPLE</v>
      </c>
      <c r="AM28" s="92">
        <f t="shared" si="68"/>
        <v>5.3999564865560234</v>
      </c>
      <c r="AN28" s="56" t="str">
        <f t="shared" si="13"/>
        <v>CUMPLE</v>
      </c>
    </row>
    <row r="29" spans="1:40">
      <c r="A29" s="166">
        <v>630</v>
      </c>
      <c r="B29" s="10">
        <v>45</v>
      </c>
      <c r="C29" s="10">
        <v>10</v>
      </c>
      <c r="D29" s="18">
        <f t="shared" si="35"/>
        <v>23.858362699109705</v>
      </c>
      <c r="E29" s="126">
        <v>5</v>
      </c>
      <c r="F29" s="55">
        <f t="shared" si="36"/>
        <v>3.15</v>
      </c>
      <c r="G29" s="55">
        <f t="shared" si="37"/>
        <v>2.9102205274105533</v>
      </c>
      <c r="H29" s="55">
        <f t="shared" si="38"/>
        <v>2.4109056239000655</v>
      </c>
      <c r="I29" s="55">
        <f t="shared" si="39"/>
        <v>3.5081335181617588</v>
      </c>
      <c r="J29" s="73">
        <v>1.2</v>
      </c>
      <c r="K29" s="27">
        <f t="shared" si="40"/>
        <v>10.453086748680077</v>
      </c>
      <c r="L29" s="50">
        <f t="shared" si="41"/>
        <v>4.2097602217941104</v>
      </c>
      <c r="M29" s="100">
        <f t="shared" si="42"/>
        <v>0.15424156072994943</v>
      </c>
      <c r="N29" s="49">
        <f t="shared" si="43"/>
        <v>4.0555186610641609</v>
      </c>
      <c r="O29" s="18">
        <f t="shared" si="44"/>
        <v>9.7332447865539855</v>
      </c>
      <c r="P29" s="27">
        <f t="shared" si="45"/>
        <v>1.2</v>
      </c>
      <c r="Q29" s="27">
        <f t="shared" si="46"/>
        <v>13</v>
      </c>
      <c r="R29" s="27">
        <f t="shared" si="47"/>
        <v>3.15</v>
      </c>
      <c r="S29" s="18">
        <f t="shared" si="48"/>
        <v>5</v>
      </c>
      <c r="T29" s="27">
        <f t="shared" si="49"/>
        <v>1.2</v>
      </c>
      <c r="U29" s="27">
        <f t="shared" si="50"/>
        <v>10</v>
      </c>
      <c r="V29" s="27">
        <f t="shared" si="51"/>
        <v>2.4109056239000655</v>
      </c>
      <c r="W29" s="18">
        <f t="shared" si="52"/>
        <v>5</v>
      </c>
      <c r="X29" s="27">
        <f t="shared" si="53"/>
        <v>1.4551102637052764</v>
      </c>
      <c r="Y29" s="11">
        <f t="shared" si="54"/>
        <v>10</v>
      </c>
      <c r="Z29" s="27">
        <f t="shared" si="55"/>
        <v>1.2054528119500327</v>
      </c>
      <c r="AA29" s="18">
        <f t="shared" si="56"/>
        <v>12</v>
      </c>
      <c r="AB29" s="27">
        <f t="shared" si="57"/>
        <v>144.78760088040664</v>
      </c>
      <c r="AC29" s="18">
        <f t="shared" si="58"/>
        <v>0.12857138958180109</v>
      </c>
      <c r="AD29" s="21">
        <f t="shared" si="59"/>
        <v>9.8618161761357861</v>
      </c>
      <c r="AE29" s="27">
        <f t="shared" si="60"/>
        <v>9.8618161761357861</v>
      </c>
      <c r="AF29" s="11">
        <f t="shared" si="61"/>
        <v>4.5149678378741838</v>
      </c>
      <c r="AG29" s="11">
        <f t="shared" si="62"/>
        <v>8.1947668879856828</v>
      </c>
      <c r="AH29" s="18">
        <f t="shared" si="63"/>
        <v>28.930867486800786</v>
      </c>
      <c r="AI29" s="27">
        <f t="shared" si="64"/>
        <v>1.5560847507851763</v>
      </c>
      <c r="AJ29" s="18" t="str">
        <f t="shared" si="65"/>
        <v>CUMPLE</v>
      </c>
      <c r="AK29" s="26">
        <f t="shared" si="66"/>
        <v>2.6739978592753362</v>
      </c>
      <c r="AL29" s="18" t="str">
        <f t="shared" si="67"/>
        <v>CUMPLE</v>
      </c>
      <c r="AM29" s="92">
        <f t="shared" si="68"/>
        <v>4.8802757483775681</v>
      </c>
      <c r="AN29" s="56" t="str">
        <f t="shared" si="13"/>
        <v>CUMPLE</v>
      </c>
    </row>
  </sheetData>
  <mergeCells count="13">
    <mergeCell ref="AU16:AV16"/>
    <mergeCell ref="AW16:AX16"/>
    <mergeCell ref="AI17:AJ17"/>
    <mergeCell ref="E16:L16"/>
    <mergeCell ref="AB16:AC16"/>
    <mergeCell ref="AI16:AN16"/>
    <mergeCell ref="AK17:AL17"/>
    <mergeCell ref="AM17:AN17"/>
    <mergeCell ref="P16:S16"/>
    <mergeCell ref="T16:W16"/>
    <mergeCell ref="X16:AA16"/>
    <mergeCell ref="AE16:AH16"/>
    <mergeCell ref="M16:O1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workbookViewId="0">
      <selection activeCell="F30" sqref="F30"/>
    </sheetView>
  </sheetViews>
  <sheetFormatPr baseColWidth="10" defaultRowHeight="15"/>
  <cols>
    <col min="1" max="10" width="11.42578125" style="42"/>
    <col min="11" max="12" width="0" style="42" hidden="1" customWidth="1"/>
    <col min="13" max="14" width="14.7109375" style="42" hidden="1" customWidth="1"/>
    <col min="15" max="15" width="16.85546875" style="42" hidden="1" customWidth="1"/>
    <col min="16" max="16" width="15.7109375" style="42" hidden="1" customWidth="1"/>
    <col min="17" max="18" width="14.7109375" style="42" hidden="1" customWidth="1"/>
    <col min="19" max="19" width="11.42578125" style="42" hidden="1" customWidth="1"/>
    <col min="20" max="23" width="0" style="42" hidden="1" customWidth="1"/>
    <col min="24" max="27" width="11.42578125" style="42" hidden="1" customWidth="1"/>
    <col min="28" max="28" width="0" style="42" hidden="1" customWidth="1"/>
    <col min="29" max="29" width="11.42578125" style="42" hidden="1" customWidth="1"/>
    <col min="30" max="32" width="14.7109375" style="42" hidden="1" customWidth="1"/>
    <col min="33" max="33" width="11.42578125" style="42" hidden="1" customWidth="1"/>
    <col min="34" max="34" width="0" style="42" hidden="1" customWidth="1"/>
    <col min="35" max="35" width="12" style="42" bestFit="1" customWidth="1"/>
    <col min="36" max="37" width="11.42578125" style="42"/>
    <col min="38" max="39" width="11.42578125" style="42" customWidth="1"/>
    <col min="40" max="41" width="14.7109375" style="42" customWidth="1"/>
    <col min="42" max="42" width="15.140625" style="42" customWidth="1"/>
    <col min="43" max="16384" width="11.42578125" style="42"/>
  </cols>
  <sheetData>
    <row r="1" spans="1:40">
      <c r="A1" s="4" t="s">
        <v>35</v>
      </c>
      <c r="F1" s="3"/>
      <c r="G1" s="3"/>
      <c r="H1" s="4" t="s">
        <v>36</v>
      </c>
      <c r="M1" s="4" t="s">
        <v>88</v>
      </c>
      <c r="AF1" s="2"/>
    </row>
    <row r="2" spans="1:40">
      <c r="A2" s="5" t="s">
        <v>4</v>
      </c>
      <c r="D2" s="44">
        <v>2.4</v>
      </c>
      <c r="E2" s="13" t="s">
        <v>0</v>
      </c>
      <c r="H2" s="5" t="s">
        <v>30</v>
      </c>
      <c r="I2" s="44"/>
      <c r="J2" s="43">
        <v>70</v>
      </c>
      <c r="K2" s="45" t="s">
        <v>33</v>
      </c>
      <c r="M2" s="5" t="s">
        <v>49</v>
      </c>
      <c r="N2" s="3">
        <v>1.5</v>
      </c>
      <c r="O2" s="45" t="s">
        <v>51</v>
      </c>
      <c r="P2" s="45"/>
      <c r="X2" s="2"/>
      <c r="Y2" s="2"/>
      <c r="Z2" s="2"/>
    </row>
    <row r="3" spans="1:40">
      <c r="A3" s="5" t="s">
        <v>5</v>
      </c>
      <c r="D3" s="44">
        <v>7.85</v>
      </c>
      <c r="E3" s="13" t="s">
        <v>0</v>
      </c>
      <c r="H3" s="5" t="s">
        <v>32</v>
      </c>
      <c r="I3" s="44"/>
      <c r="J3" s="43">
        <v>12</v>
      </c>
      <c r="K3" s="45" t="s">
        <v>33</v>
      </c>
      <c r="M3" s="5" t="s">
        <v>50</v>
      </c>
      <c r="N3" s="3">
        <v>1.8</v>
      </c>
      <c r="O3" s="45" t="s">
        <v>52</v>
      </c>
      <c r="P3" s="45"/>
      <c r="X3" s="2"/>
      <c r="Y3" s="2"/>
      <c r="Z3" s="2"/>
    </row>
    <row r="4" spans="1:40">
      <c r="A4" s="5" t="s">
        <v>6</v>
      </c>
      <c r="D4" s="44">
        <v>1.8</v>
      </c>
      <c r="E4" s="13" t="s">
        <v>0</v>
      </c>
      <c r="H4" s="5" t="s">
        <v>31</v>
      </c>
      <c r="I4" s="44"/>
      <c r="J4" s="43">
        <v>250</v>
      </c>
      <c r="K4" s="45" t="s">
        <v>33</v>
      </c>
      <c r="M4" s="5" t="s">
        <v>63</v>
      </c>
      <c r="N4" s="3">
        <v>3</v>
      </c>
      <c r="O4" s="45" t="s">
        <v>64</v>
      </c>
      <c r="X4" s="2"/>
      <c r="Y4" s="2"/>
      <c r="Z4" s="2"/>
    </row>
    <row r="5" spans="1:40">
      <c r="A5" s="5" t="s">
        <v>34</v>
      </c>
      <c r="D5" s="44">
        <v>0.56999999999999995</v>
      </c>
      <c r="E5" s="5"/>
      <c r="H5" s="5" t="s">
        <v>91</v>
      </c>
      <c r="I5" s="44"/>
      <c r="J5" s="43">
        <v>0.88800000000000001</v>
      </c>
      <c r="K5" s="45" t="s">
        <v>92</v>
      </c>
      <c r="X5" s="2"/>
      <c r="Y5" s="2"/>
      <c r="Z5" s="2"/>
    </row>
    <row r="6" spans="1:40">
      <c r="A6" s="5" t="s">
        <v>123</v>
      </c>
      <c r="D6" s="44">
        <f>+D7*D8</f>
        <v>10</v>
      </c>
      <c r="E6" s="13" t="s">
        <v>1</v>
      </c>
      <c r="F6" s="45"/>
      <c r="G6" s="45"/>
      <c r="H6" s="8"/>
      <c r="I6" s="44"/>
      <c r="J6" s="43"/>
      <c r="X6" s="2"/>
      <c r="Y6" s="2"/>
      <c r="Z6" s="2"/>
    </row>
    <row r="7" spans="1:40">
      <c r="A7" s="5" t="s">
        <v>131</v>
      </c>
      <c r="D7" s="44">
        <v>20</v>
      </c>
      <c r="E7" s="13" t="s">
        <v>1</v>
      </c>
      <c r="F7" s="88" t="s">
        <v>130</v>
      </c>
      <c r="G7" s="88"/>
      <c r="H7" s="89"/>
      <c r="I7" s="90"/>
      <c r="J7" s="91"/>
      <c r="X7" s="2"/>
      <c r="Y7" s="2"/>
      <c r="Z7" s="2"/>
    </row>
    <row r="8" spans="1:40">
      <c r="A8" s="5" t="s">
        <v>129</v>
      </c>
      <c r="D8" s="44">
        <v>0.5</v>
      </c>
      <c r="E8" s="13"/>
      <c r="F8" s="45"/>
      <c r="G8" s="45"/>
      <c r="H8" s="8"/>
      <c r="I8" s="44"/>
      <c r="J8" s="43"/>
      <c r="X8" s="2"/>
      <c r="Y8" s="2"/>
      <c r="Z8" s="2"/>
    </row>
    <row r="9" spans="1:40">
      <c r="A9" s="5" t="s">
        <v>69</v>
      </c>
      <c r="D9" s="44">
        <v>1</v>
      </c>
      <c r="E9" s="13" t="s">
        <v>47</v>
      </c>
      <c r="H9" s="8"/>
      <c r="I9" s="44"/>
      <c r="J9" s="43"/>
      <c r="X9" s="2"/>
      <c r="Y9" s="2"/>
      <c r="Z9" s="2"/>
    </row>
    <row r="10" spans="1:40">
      <c r="A10" s="5"/>
      <c r="E10" s="43"/>
      <c r="H10" s="8"/>
      <c r="I10" s="44"/>
      <c r="J10" s="43"/>
      <c r="X10" s="2"/>
      <c r="Y10" s="2"/>
      <c r="Z10" s="2"/>
    </row>
    <row r="11" spans="1:40">
      <c r="A11" s="5" t="s">
        <v>37</v>
      </c>
      <c r="B11" s="45" t="s">
        <v>2</v>
      </c>
      <c r="D11" s="44"/>
      <c r="E11" s="43"/>
      <c r="H11" s="43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X11" s="44"/>
      <c r="Y11" s="44"/>
      <c r="Z11" s="44"/>
      <c r="AA11" s="44"/>
      <c r="AB11" s="43"/>
      <c r="AC11" s="43"/>
      <c r="AD11" s="43"/>
      <c r="AE11" s="43"/>
    </row>
    <row r="12" spans="1:40">
      <c r="A12" s="5" t="s">
        <v>38</v>
      </c>
      <c r="B12" s="45" t="s">
        <v>3</v>
      </c>
      <c r="D12" s="44"/>
      <c r="E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X12" s="44"/>
      <c r="Y12" s="44"/>
      <c r="Z12" s="44"/>
      <c r="AA12" s="44"/>
      <c r="AB12" s="43"/>
      <c r="AC12" s="43"/>
      <c r="AD12" s="43"/>
      <c r="AE12" s="43"/>
    </row>
    <row r="13" spans="1:40">
      <c r="A13" s="5" t="s">
        <v>39</v>
      </c>
      <c r="B13" s="45" t="s">
        <v>40</v>
      </c>
      <c r="D13" s="44"/>
      <c r="E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X13" s="44"/>
      <c r="Y13" s="44"/>
      <c r="Z13" s="44"/>
      <c r="AA13" s="44"/>
      <c r="AB13" s="43"/>
      <c r="AC13" s="43"/>
      <c r="AD13" s="43"/>
      <c r="AE13" s="43"/>
    </row>
    <row r="14" spans="1:40">
      <c r="A14" s="5" t="s">
        <v>41</v>
      </c>
      <c r="B14" s="45" t="s">
        <v>42</v>
      </c>
      <c r="D14" s="44"/>
      <c r="E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X14" s="44"/>
      <c r="Y14" s="44"/>
      <c r="Z14" s="44"/>
      <c r="AA14" s="44"/>
      <c r="AB14" s="43"/>
      <c r="AC14" s="43"/>
      <c r="AD14" s="43"/>
      <c r="AE14" s="43"/>
    </row>
    <row r="15" spans="1:40" s="101" customFormat="1">
      <c r="A15" s="5"/>
      <c r="B15" s="45"/>
      <c r="D15" s="44"/>
      <c r="E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X15" s="44"/>
      <c r="Y15" s="44"/>
      <c r="Z15" s="44"/>
      <c r="AA15" s="44"/>
      <c r="AB15" s="43"/>
      <c r="AC15" s="43"/>
      <c r="AD15" s="43"/>
      <c r="AE15" s="43"/>
    </row>
    <row r="16" spans="1:40" s="101" customFormat="1" ht="15.75" customHeight="1">
      <c r="A16" s="106"/>
      <c r="B16" s="106"/>
      <c r="C16" s="106"/>
      <c r="D16" s="106"/>
      <c r="E16" s="145" t="s">
        <v>132</v>
      </c>
      <c r="F16" s="145"/>
      <c r="G16" s="145"/>
      <c r="H16" s="145"/>
      <c r="I16" s="145"/>
      <c r="J16" s="145"/>
      <c r="K16" s="145"/>
      <c r="L16" s="145"/>
      <c r="M16" s="131" t="s">
        <v>57</v>
      </c>
      <c r="N16" s="131"/>
      <c r="O16" s="131"/>
      <c r="P16" s="145" t="s">
        <v>27</v>
      </c>
      <c r="Q16" s="145"/>
      <c r="R16" s="145"/>
      <c r="S16" s="145"/>
      <c r="T16" s="145" t="s">
        <v>43</v>
      </c>
      <c r="U16" s="145"/>
      <c r="V16" s="145"/>
      <c r="W16" s="145"/>
      <c r="X16" s="145" t="s">
        <v>44</v>
      </c>
      <c r="Y16" s="145"/>
      <c r="Z16" s="145"/>
      <c r="AA16" s="145"/>
      <c r="AB16" s="147" t="s">
        <v>136</v>
      </c>
      <c r="AC16" s="147"/>
      <c r="AD16" s="105" t="s">
        <v>45</v>
      </c>
      <c r="AE16" s="145" t="s">
        <v>48</v>
      </c>
      <c r="AF16" s="145"/>
      <c r="AG16" s="145"/>
      <c r="AH16" s="146"/>
      <c r="AI16" s="145" t="s">
        <v>133</v>
      </c>
      <c r="AJ16" s="145"/>
      <c r="AK16" s="145"/>
      <c r="AL16" s="145"/>
      <c r="AM16" s="145"/>
      <c r="AN16" s="145"/>
    </row>
    <row r="17" spans="1:40" s="101" customFormat="1" ht="20.25" customHeight="1">
      <c r="A17" s="83" t="s">
        <v>7</v>
      </c>
      <c r="B17" s="46" t="s">
        <v>14</v>
      </c>
      <c r="C17" s="83" t="s">
        <v>15</v>
      </c>
      <c r="D17" s="85" t="s">
        <v>8</v>
      </c>
      <c r="E17" s="62" t="s">
        <v>97</v>
      </c>
      <c r="F17" s="84" t="s">
        <v>19</v>
      </c>
      <c r="G17" s="84" t="s">
        <v>89</v>
      </c>
      <c r="H17" s="84" t="s">
        <v>81</v>
      </c>
      <c r="I17" s="93" t="s">
        <v>21</v>
      </c>
      <c r="J17" s="28" t="s">
        <v>20</v>
      </c>
      <c r="K17" s="84" t="s">
        <v>22</v>
      </c>
      <c r="L17" s="94" t="s">
        <v>61</v>
      </c>
      <c r="M17" s="84" t="s">
        <v>90</v>
      </c>
      <c r="N17" s="84" t="s">
        <v>60</v>
      </c>
      <c r="O17" s="85" t="s">
        <v>25</v>
      </c>
      <c r="P17" s="84" t="s">
        <v>20</v>
      </c>
      <c r="Q17" s="84" t="s">
        <v>28</v>
      </c>
      <c r="R17" s="84" t="s">
        <v>19</v>
      </c>
      <c r="S17" s="85" t="s">
        <v>58</v>
      </c>
      <c r="T17" s="22" t="s">
        <v>20</v>
      </c>
      <c r="U17" s="84" t="s">
        <v>28</v>
      </c>
      <c r="V17" s="84" t="s">
        <v>81</v>
      </c>
      <c r="W17" s="85" t="s">
        <v>82</v>
      </c>
      <c r="X17" s="28" t="s">
        <v>95</v>
      </c>
      <c r="Y17" s="46" t="s">
        <v>96</v>
      </c>
      <c r="Z17" s="28" t="s">
        <v>93</v>
      </c>
      <c r="AA17" s="85" t="s">
        <v>94</v>
      </c>
      <c r="AB17" s="108" t="s">
        <v>134</v>
      </c>
      <c r="AC17" s="107" t="s">
        <v>135</v>
      </c>
      <c r="AD17" s="109" t="s">
        <v>135</v>
      </c>
      <c r="AE17" s="22" t="s">
        <v>39</v>
      </c>
      <c r="AF17" s="46" t="s">
        <v>41</v>
      </c>
      <c r="AG17" s="46" t="s">
        <v>37</v>
      </c>
      <c r="AH17" s="46" t="s">
        <v>38</v>
      </c>
      <c r="AI17" s="136" t="s">
        <v>55</v>
      </c>
      <c r="AJ17" s="148"/>
      <c r="AK17" s="136" t="s">
        <v>56</v>
      </c>
      <c r="AL17" s="148"/>
      <c r="AM17" s="149" t="s">
        <v>62</v>
      </c>
      <c r="AN17" s="150"/>
    </row>
    <row r="18" spans="1:40">
      <c r="A18" s="15" t="s">
        <v>9</v>
      </c>
      <c r="B18" s="14" t="s">
        <v>10</v>
      </c>
      <c r="C18" s="15" t="s">
        <v>11</v>
      </c>
      <c r="D18" s="17" t="s">
        <v>12</v>
      </c>
      <c r="E18" s="62" t="s">
        <v>59</v>
      </c>
      <c r="F18" s="23" t="s">
        <v>16</v>
      </c>
      <c r="G18" s="23" t="s">
        <v>16</v>
      </c>
      <c r="H18" s="23" t="s">
        <v>16</v>
      </c>
      <c r="I18" s="23" t="s">
        <v>23</v>
      </c>
      <c r="J18" s="28" t="s">
        <v>16</v>
      </c>
      <c r="K18" s="25" t="s">
        <v>23</v>
      </c>
      <c r="L18" s="82" t="s">
        <v>24</v>
      </c>
      <c r="M18" s="25" t="s">
        <v>24</v>
      </c>
      <c r="N18" s="25" t="s">
        <v>24</v>
      </c>
      <c r="O18" s="17" t="s">
        <v>12</v>
      </c>
      <c r="P18" s="25" t="s">
        <v>16</v>
      </c>
      <c r="Q18" s="25" t="s">
        <v>29</v>
      </c>
      <c r="R18" s="25" t="s">
        <v>16</v>
      </c>
      <c r="S18" s="17" t="s">
        <v>29</v>
      </c>
      <c r="T18" s="25" t="s">
        <v>16</v>
      </c>
      <c r="U18" s="25" t="s">
        <v>29</v>
      </c>
      <c r="V18" s="25" t="s">
        <v>16</v>
      </c>
      <c r="W18" s="17" t="s">
        <v>29</v>
      </c>
      <c r="X18" s="25" t="s">
        <v>16</v>
      </c>
      <c r="Y18" s="14" t="s">
        <v>29</v>
      </c>
      <c r="Z18" s="25" t="s">
        <v>16</v>
      </c>
      <c r="AA18" s="17" t="s">
        <v>29</v>
      </c>
      <c r="AB18" s="25" t="s">
        <v>16</v>
      </c>
      <c r="AC18" s="17" t="s">
        <v>12</v>
      </c>
      <c r="AD18" s="14" t="s">
        <v>12</v>
      </c>
      <c r="AE18" s="24" t="s">
        <v>12</v>
      </c>
      <c r="AF18" s="14" t="s">
        <v>12</v>
      </c>
      <c r="AG18" s="14" t="s">
        <v>12</v>
      </c>
      <c r="AH18" s="14" t="s">
        <v>12</v>
      </c>
      <c r="AI18" s="22" t="s">
        <v>53</v>
      </c>
      <c r="AJ18" s="85" t="s">
        <v>54</v>
      </c>
      <c r="AK18" s="22" t="s">
        <v>53</v>
      </c>
      <c r="AL18" s="85" t="s">
        <v>54</v>
      </c>
      <c r="AM18" s="95" t="s">
        <v>53</v>
      </c>
      <c r="AN18" s="61" t="s">
        <v>54</v>
      </c>
    </row>
    <row r="19" spans="1:40">
      <c r="A19" s="54">
        <v>90</v>
      </c>
      <c r="B19" s="10">
        <v>90</v>
      </c>
      <c r="C19" s="10">
        <v>10</v>
      </c>
      <c r="D19" s="18">
        <f>2*(C19/0.0001)*(PI()*(A19/1000)^2/4)*SIN(RADIANS(B19)/2)/1000</f>
        <v>0.89968379497706896</v>
      </c>
      <c r="E19" s="126">
        <v>2.5</v>
      </c>
      <c r="F19" s="55">
        <f t="shared" ref="F19:F26" si="0">+E19*(A19/1000)</f>
        <v>0.22499999999999998</v>
      </c>
      <c r="G19" s="55">
        <f t="shared" ref="G19:G26" si="1">+F19*COS(RADIANS(B19/2))</f>
        <v>0.15909902576697318</v>
      </c>
      <c r="H19" s="55">
        <f t="shared" ref="H19:H26" si="2">+F19*SIN(RADIANS(B19/2))*2</f>
        <v>0.31819805153394631</v>
      </c>
      <c r="I19" s="55">
        <f>0.5*H19*G19</f>
        <v>2.5312499999999991E-2</v>
      </c>
      <c r="J19" s="73">
        <v>0.6</v>
      </c>
      <c r="K19" s="27">
        <f>+(F19*2+H19)*J19</f>
        <v>0.46091883092036773</v>
      </c>
      <c r="L19" s="50">
        <f>+I19*J19</f>
        <v>1.5187499999999994E-2</v>
      </c>
      <c r="M19" s="100">
        <f t="shared" ref="M19:M26" si="3">+PI()*(A19/1000)^2/4*(A19/1000)*RADIANS(B19)</f>
        <v>8.9936770104926767E-4</v>
      </c>
      <c r="N19" s="49">
        <f>+L19-M19</f>
        <v>1.4288132298950727E-2</v>
      </c>
      <c r="O19" s="18">
        <f>+N19*$D$2</f>
        <v>3.4291517517481745E-2</v>
      </c>
      <c r="P19" s="27">
        <f>+J19</f>
        <v>0.6</v>
      </c>
      <c r="Q19" s="27">
        <f t="shared" ref="Q19:Q26" si="4">+ROUND((F19-2*($J$2/1000))/($J$4/1000),0)+1</f>
        <v>1</v>
      </c>
      <c r="R19" s="27">
        <f t="shared" ref="R19:R26" si="5">+F19</f>
        <v>0.22499999999999998</v>
      </c>
      <c r="S19" s="18">
        <f>+ROUND((J19-2*($J$2/1000))/($J$4/1000),0)+1</f>
        <v>3</v>
      </c>
      <c r="T19" s="27">
        <f>+J19</f>
        <v>0.6</v>
      </c>
      <c r="U19" s="27">
        <f t="shared" ref="U19:U26" si="6">+ROUND((H19-2*($J$2/1000))/($J$4/1000),0)+1</f>
        <v>2</v>
      </c>
      <c r="V19" s="27">
        <f>+H19</f>
        <v>0.31819805153394631</v>
      </c>
      <c r="W19" s="18">
        <f>+ROUND((J19-2*($J$2/1000))/($J$4/1000),0)+1</f>
        <v>3</v>
      </c>
      <c r="X19" s="27">
        <f t="shared" ref="X19:X26" si="7">+TAN(RADIANS(180-(B19)/2-90))*H19/4</f>
        <v>7.9549512883486564E-2</v>
      </c>
      <c r="Y19" s="11">
        <f>+ROUND((H19-2*($J$2/1000))/($J$4/1000),0)+1</f>
        <v>2</v>
      </c>
      <c r="Z19" s="27">
        <f t="shared" ref="Z19:Z26" si="8">+H19/2</f>
        <v>0.15909902576697316</v>
      </c>
      <c r="AA19" s="18">
        <f t="shared" ref="AA19:AA26" si="9">+ROUND((G19-2*($J$2/1000))/($J$4/1000),0)+1</f>
        <v>1</v>
      </c>
      <c r="AB19" s="27">
        <f>+(P19*Q19+R19*S19)*2+(T19*U19+V19*W19)+(X19*Y19+Z19*AA19)*2</f>
        <v>5.3409902576697315</v>
      </c>
      <c r="AC19" s="18">
        <f>+AB19*$J$5/1000</f>
        <v>4.7427993488107214E-3</v>
      </c>
      <c r="AD19" s="21">
        <f>+O19+AC19</f>
        <v>3.9034316866292468E-2</v>
      </c>
      <c r="AE19" s="27">
        <f>+AD19</f>
        <v>3.9034316866292468E-2</v>
      </c>
      <c r="AF19" s="11">
        <f t="shared" ref="AF19:AF26" si="10">+I19*($D$9-(J19/2-A19/2000))*$D$4</f>
        <v>3.394406249999999E-2</v>
      </c>
      <c r="AG19" s="11">
        <f>+$D$5*(AE19+AF19)</f>
        <v>4.1597676238786692E-2</v>
      </c>
      <c r="AH19" s="18">
        <f>+(J19*H19)*$D$6</f>
        <v>1.9091883092036779</v>
      </c>
      <c r="AI19" s="27">
        <f t="shared" ref="AI19:AI26" si="11">+(AG19+AH19)/D19</f>
        <v>2.1683017926228025</v>
      </c>
      <c r="AJ19" s="18" t="str">
        <f>+IF(AI19&gt;$N$2,"CUMPLE",IF(AI19=$N$2,"CUMPLE","NO CUMPLE"))</f>
        <v>CUMPLE</v>
      </c>
      <c r="AK19" s="26">
        <f t="shared" ref="AK19:AK26" si="12">+(AE19*G19/2+AF19*G19/2+AH19*J19/2)/(D19*J19/2)</f>
        <v>2.1435749260678283</v>
      </c>
      <c r="AL19" s="18" t="str">
        <f>+IF(AK19&gt;$N$3,"CUMPLE",IF(AK19=$N$3,"CUMPLE","NO CUMPLE"))</f>
        <v>CUMPLE</v>
      </c>
      <c r="AM19" s="92">
        <f>+$D$7/((AE19+AF19)/I19)</f>
        <v>6.9369860552676048</v>
      </c>
      <c r="AN19" s="56" t="str">
        <f>+IF(AM19&gt;$N$4,"CUMPLE",IF(AM19=$N$4,"CUMPLE","NO CUMPLE"))</f>
        <v>CUMPLE</v>
      </c>
    </row>
    <row r="20" spans="1:40">
      <c r="A20" s="54">
        <v>110</v>
      </c>
      <c r="B20" s="10">
        <v>90</v>
      </c>
      <c r="C20" s="10">
        <v>10</v>
      </c>
      <c r="D20" s="18">
        <f t="shared" ref="D20:D26" si="13">2*(C20/0.0001)*(PI()*(A20/1000)^2/4)*SIN(RADIANS(B20)/2)/1000</f>
        <v>1.3439720887929056</v>
      </c>
      <c r="E20" s="126">
        <v>3</v>
      </c>
      <c r="F20" s="55">
        <f t="shared" si="0"/>
        <v>0.33</v>
      </c>
      <c r="G20" s="55">
        <f t="shared" si="1"/>
        <v>0.23334523779156072</v>
      </c>
      <c r="H20" s="55">
        <f t="shared" si="2"/>
        <v>0.46669047558312132</v>
      </c>
      <c r="I20" s="55">
        <f t="shared" ref="I20:I26" si="14">0.5*H20*G20</f>
        <v>5.4450000000000005E-2</v>
      </c>
      <c r="J20" s="73">
        <v>0.6</v>
      </c>
      <c r="K20" s="27">
        <f t="shared" ref="K20:K26" si="15">+(F20*2+H20)*J20</f>
        <v>0.67601428534987273</v>
      </c>
      <c r="L20" s="50">
        <f t="shared" ref="L20:L26" si="16">+I20*J20</f>
        <v>3.2670000000000005E-2</v>
      </c>
      <c r="M20" s="100">
        <f t="shared" si="3"/>
        <v>1.6420554322312418E-3</v>
      </c>
      <c r="N20" s="49">
        <f t="shared" ref="N20:N26" si="17">+L20-M20</f>
        <v>3.1027944567768764E-2</v>
      </c>
      <c r="O20" s="18">
        <f t="shared" ref="O20:O26" si="18">+N20*$D$2</f>
        <v>7.4467066962645032E-2</v>
      </c>
      <c r="P20" s="27">
        <f t="shared" ref="P20:P26" si="19">+J20</f>
        <v>0.6</v>
      </c>
      <c r="Q20" s="27">
        <f t="shared" si="4"/>
        <v>2</v>
      </c>
      <c r="R20" s="27">
        <f t="shared" si="5"/>
        <v>0.33</v>
      </c>
      <c r="S20" s="18">
        <f t="shared" ref="S20:S26" si="20">+ROUND((J20-2*($J$2/1000))/($J$4/1000),0)+1</f>
        <v>3</v>
      </c>
      <c r="T20" s="27">
        <f t="shared" ref="T20:T26" si="21">+J20</f>
        <v>0.6</v>
      </c>
      <c r="U20" s="27">
        <f t="shared" si="6"/>
        <v>2</v>
      </c>
      <c r="V20" s="27">
        <f t="shared" ref="V20:V26" si="22">+H20</f>
        <v>0.46669047558312132</v>
      </c>
      <c r="W20" s="18">
        <f t="shared" ref="W20:W26" si="23">+ROUND((J20-2*($J$2/1000))/($J$4/1000),0)+1</f>
        <v>3</v>
      </c>
      <c r="X20" s="27">
        <f t="shared" si="7"/>
        <v>0.11667261889578032</v>
      </c>
      <c r="Y20" s="11">
        <f t="shared" ref="Y20:Y26" si="24">+ROUND((H20-2*($J$2/1000))/($J$4/1000),0)+1</f>
        <v>2</v>
      </c>
      <c r="Z20" s="27">
        <f t="shared" si="8"/>
        <v>0.23334523779156066</v>
      </c>
      <c r="AA20" s="18">
        <f t="shared" si="9"/>
        <v>1</v>
      </c>
      <c r="AB20" s="27">
        <f t="shared" ref="AB20:AB26" si="25">+(P20*Q20+R20*S20)*2+(T20*U20+V20*W20)+(X20*Y20+Z20*AA20)*2</f>
        <v>7.9134523779156059</v>
      </c>
      <c r="AC20" s="18">
        <f t="shared" ref="AC20:AC26" si="26">+AB20*$J$5/1000</f>
        <v>7.0271457115890579E-3</v>
      </c>
      <c r="AD20" s="21">
        <f t="shared" ref="AD20:AD26" si="27">+O20+AC20</f>
        <v>8.1494212674234096E-2</v>
      </c>
      <c r="AE20" s="27">
        <f t="shared" ref="AE20:AE26" si="28">+AD20</f>
        <v>8.1494212674234096E-2</v>
      </c>
      <c r="AF20" s="11">
        <f t="shared" si="10"/>
        <v>7.3997550000000009E-2</v>
      </c>
      <c r="AG20" s="11">
        <f t="shared" ref="AG20:AG26" si="29">+$D$5*(AE20+AF20)</f>
        <v>8.8630304724313422E-2</v>
      </c>
      <c r="AH20" s="18">
        <f t="shared" ref="AH20:AH26" si="30">+(J20*H20)*$D$6</f>
        <v>2.8001428534987278</v>
      </c>
      <c r="AI20" s="27">
        <f t="shared" si="11"/>
        <v>2.1494294281197504</v>
      </c>
      <c r="AJ20" s="18" t="str">
        <f t="shared" ref="AJ20:AJ26" si="31">+IF(AI20&gt;$N$2,"CUMPLE",IF(AI20=$N$2,"CUMPLE","NO CUMPLE"))</f>
        <v>CUMPLE</v>
      </c>
      <c r="AK20" s="26">
        <f t="shared" si="12"/>
        <v>2.1284779507296774</v>
      </c>
      <c r="AL20" s="18" t="str">
        <f t="shared" ref="AL20:AL26" si="32">+IF(AK20&gt;$N$3,"CUMPLE",IF(AK20=$N$3,"CUMPLE","NO CUMPLE"))</f>
        <v>CUMPLE</v>
      </c>
      <c r="AM20" s="92">
        <f t="shared" ref="AM20:AM26" si="33">+$D$7/((AE20+AF20)/I20)</f>
        <v>7.0035864361608002</v>
      </c>
      <c r="AN20" s="56" t="str">
        <f t="shared" ref="AN20:AN26" si="34">+IF(AM20&gt;$N$4,"CUMPLE",IF(AM20=$N$4,"CUMPLE","NO CUMPLE"))</f>
        <v>CUMPLE</v>
      </c>
    </row>
    <row r="21" spans="1:40">
      <c r="A21" s="54">
        <v>125</v>
      </c>
      <c r="B21" s="10">
        <v>90</v>
      </c>
      <c r="C21" s="10">
        <v>10</v>
      </c>
      <c r="D21" s="18">
        <f t="shared" si="13"/>
        <v>1.7355011477181115</v>
      </c>
      <c r="E21" s="126">
        <v>3</v>
      </c>
      <c r="F21" s="55">
        <f t="shared" si="0"/>
        <v>0.375</v>
      </c>
      <c r="G21" s="55">
        <f t="shared" si="1"/>
        <v>0.26516504294495535</v>
      </c>
      <c r="H21" s="55">
        <f t="shared" si="2"/>
        <v>0.5303300858899106</v>
      </c>
      <c r="I21" s="55">
        <f t="shared" si="14"/>
        <v>7.03125E-2</v>
      </c>
      <c r="J21" s="73">
        <v>0.6</v>
      </c>
      <c r="K21" s="27">
        <f t="shared" si="15"/>
        <v>0.76819805153394627</v>
      </c>
      <c r="L21" s="50">
        <f t="shared" si="16"/>
        <v>4.2187499999999996E-2</v>
      </c>
      <c r="M21" s="100">
        <f t="shared" si="3"/>
        <v>2.4095713869847065E-3</v>
      </c>
      <c r="N21" s="49">
        <f t="shared" si="17"/>
        <v>3.9777928613015288E-2</v>
      </c>
      <c r="O21" s="18">
        <f t="shared" si="18"/>
        <v>9.5467028671236687E-2</v>
      </c>
      <c r="P21" s="27">
        <f t="shared" si="19"/>
        <v>0.6</v>
      </c>
      <c r="Q21" s="27">
        <f t="shared" si="4"/>
        <v>2</v>
      </c>
      <c r="R21" s="27">
        <f t="shared" si="5"/>
        <v>0.375</v>
      </c>
      <c r="S21" s="18">
        <f t="shared" si="20"/>
        <v>3</v>
      </c>
      <c r="T21" s="27">
        <f t="shared" si="21"/>
        <v>0.6</v>
      </c>
      <c r="U21" s="27">
        <f t="shared" si="6"/>
        <v>3</v>
      </c>
      <c r="V21" s="27">
        <f t="shared" si="22"/>
        <v>0.5303300858899106</v>
      </c>
      <c r="W21" s="18">
        <f t="shared" si="23"/>
        <v>3</v>
      </c>
      <c r="X21" s="27">
        <f t="shared" si="7"/>
        <v>0.13258252147247762</v>
      </c>
      <c r="Y21" s="11">
        <f t="shared" si="24"/>
        <v>3</v>
      </c>
      <c r="Z21" s="27">
        <f t="shared" si="8"/>
        <v>0.2651650429449553</v>
      </c>
      <c r="AA21" s="18">
        <f t="shared" si="9"/>
        <v>2</v>
      </c>
      <c r="AB21" s="27">
        <f t="shared" si="25"/>
        <v>9.8971455582844179</v>
      </c>
      <c r="AC21" s="18">
        <f t="shared" si="26"/>
        <v>8.7886652557565628E-3</v>
      </c>
      <c r="AD21" s="21">
        <f t="shared" si="27"/>
        <v>0.10425569392699324</v>
      </c>
      <c r="AE21" s="27">
        <f t="shared" si="28"/>
        <v>0.10425569392699324</v>
      </c>
      <c r="AF21" s="11">
        <f t="shared" si="10"/>
        <v>9.6503906249999993E-2</v>
      </c>
      <c r="AG21" s="11">
        <f t="shared" si="29"/>
        <v>0.11443297210088614</v>
      </c>
      <c r="AH21" s="18">
        <f t="shared" si="30"/>
        <v>3.1819805153394638</v>
      </c>
      <c r="AI21" s="27">
        <f t="shared" si="11"/>
        <v>1.8994015024274531</v>
      </c>
      <c r="AJ21" s="18" t="str">
        <f t="shared" si="31"/>
        <v>CUMPLE</v>
      </c>
      <c r="AK21" s="26">
        <f t="shared" si="12"/>
        <v>1.8845879568047481</v>
      </c>
      <c r="AL21" s="18" t="str">
        <f t="shared" si="32"/>
        <v>CUMPLE</v>
      </c>
      <c r="AM21" s="92">
        <f t="shared" si="33"/>
        <v>7.0046463469753126</v>
      </c>
      <c r="AN21" s="56" t="str">
        <f t="shared" si="34"/>
        <v>CUMPLE</v>
      </c>
    </row>
    <row r="22" spans="1:40">
      <c r="A22" s="54">
        <v>140</v>
      </c>
      <c r="B22" s="10">
        <v>90</v>
      </c>
      <c r="C22" s="10">
        <v>10</v>
      </c>
      <c r="D22" s="18">
        <f t="shared" si="13"/>
        <v>2.1770126396975993</v>
      </c>
      <c r="E22" s="126">
        <v>3.5</v>
      </c>
      <c r="F22" s="55">
        <f t="shared" si="0"/>
        <v>0.49000000000000005</v>
      </c>
      <c r="G22" s="55">
        <f t="shared" si="1"/>
        <v>0.34648232278140834</v>
      </c>
      <c r="H22" s="55">
        <f t="shared" si="2"/>
        <v>0.69296464556281656</v>
      </c>
      <c r="I22" s="55">
        <f t="shared" si="14"/>
        <v>0.12005000000000002</v>
      </c>
      <c r="J22" s="73">
        <v>0.6</v>
      </c>
      <c r="K22" s="27">
        <f t="shared" si="15"/>
        <v>1.00377878733769</v>
      </c>
      <c r="L22" s="50">
        <f t="shared" si="16"/>
        <v>7.2030000000000011E-2</v>
      </c>
      <c r="M22" s="100">
        <f t="shared" si="3"/>
        <v>3.3852743095736503E-3</v>
      </c>
      <c r="N22" s="49">
        <f t="shared" si="17"/>
        <v>6.8644725690426359E-2</v>
      </c>
      <c r="O22" s="18">
        <f t="shared" si="18"/>
        <v>0.16474734165702326</v>
      </c>
      <c r="P22" s="27">
        <f t="shared" si="19"/>
        <v>0.6</v>
      </c>
      <c r="Q22" s="27">
        <f t="shared" si="4"/>
        <v>2</v>
      </c>
      <c r="R22" s="27">
        <f t="shared" si="5"/>
        <v>0.49000000000000005</v>
      </c>
      <c r="S22" s="18">
        <f t="shared" si="20"/>
        <v>3</v>
      </c>
      <c r="T22" s="27">
        <f t="shared" si="21"/>
        <v>0.6</v>
      </c>
      <c r="U22" s="27">
        <f t="shared" si="6"/>
        <v>3</v>
      </c>
      <c r="V22" s="27">
        <f t="shared" si="22"/>
        <v>0.69296464556281656</v>
      </c>
      <c r="W22" s="18">
        <f t="shared" si="23"/>
        <v>3</v>
      </c>
      <c r="X22" s="27">
        <f t="shared" si="7"/>
        <v>0.17324116139070411</v>
      </c>
      <c r="Y22" s="11">
        <f t="shared" si="24"/>
        <v>3</v>
      </c>
      <c r="Z22" s="27">
        <f t="shared" si="8"/>
        <v>0.34648232278140828</v>
      </c>
      <c r="AA22" s="18">
        <f t="shared" si="9"/>
        <v>2</v>
      </c>
      <c r="AB22" s="27">
        <f t="shared" si="25"/>
        <v>11.644270196158306</v>
      </c>
      <c r="AC22" s="18">
        <f t="shared" si="26"/>
        <v>1.0340111934188576E-2</v>
      </c>
      <c r="AD22" s="21">
        <f t="shared" si="27"/>
        <v>0.17508745359121183</v>
      </c>
      <c r="AE22" s="27">
        <f t="shared" si="28"/>
        <v>0.17508745359121183</v>
      </c>
      <c r="AF22" s="11">
        <f t="shared" si="10"/>
        <v>0.16638930000000005</v>
      </c>
      <c r="AG22" s="11">
        <f t="shared" si="29"/>
        <v>0.19464174954699076</v>
      </c>
      <c r="AH22" s="18">
        <f t="shared" si="30"/>
        <v>4.1577878733768987</v>
      </c>
      <c r="AI22" s="27">
        <f t="shared" si="11"/>
        <v>1.9992670430836217</v>
      </c>
      <c r="AJ22" s="18" t="str">
        <f t="shared" si="31"/>
        <v>CUMPLE</v>
      </c>
      <c r="AK22" s="26">
        <f t="shared" si="12"/>
        <v>2.0004388392444348</v>
      </c>
      <c r="AL22" s="18" t="str">
        <f t="shared" si="32"/>
        <v>CUMPLE</v>
      </c>
      <c r="AM22" s="92">
        <f t="shared" si="33"/>
        <v>7.03122533159104</v>
      </c>
      <c r="AN22" s="56" t="str">
        <f t="shared" si="34"/>
        <v>CUMPLE</v>
      </c>
    </row>
    <row r="23" spans="1:40">
      <c r="A23" s="54">
        <v>160</v>
      </c>
      <c r="B23" s="10">
        <v>90</v>
      </c>
      <c r="C23" s="10">
        <v>10</v>
      </c>
      <c r="D23" s="18">
        <f t="shared" si="13"/>
        <v>2.843445080421354</v>
      </c>
      <c r="E23" s="126">
        <v>3.5</v>
      </c>
      <c r="F23" s="55">
        <f t="shared" si="0"/>
        <v>0.56000000000000005</v>
      </c>
      <c r="G23" s="55">
        <f t="shared" si="1"/>
        <v>0.39597979746446665</v>
      </c>
      <c r="H23" s="55">
        <f t="shared" si="2"/>
        <v>0.7919595949289332</v>
      </c>
      <c r="I23" s="55">
        <f t="shared" si="14"/>
        <v>0.15680000000000002</v>
      </c>
      <c r="J23" s="73">
        <v>0.7</v>
      </c>
      <c r="K23" s="27">
        <f t="shared" si="15"/>
        <v>1.3383717164502531</v>
      </c>
      <c r="L23" s="50">
        <f t="shared" si="16"/>
        <v>0.10976000000000001</v>
      </c>
      <c r="M23" s="100">
        <f t="shared" si="3"/>
        <v>5.0532374533577519E-3</v>
      </c>
      <c r="N23" s="49">
        <f t="shared" si="17"/>
        <v>0.10470676254664225</v>
      </c>
      <c r="O23" s="18">
        <f t="shared" si="18"/>
        <v>0.25129623011194141</v>
      </c>
      <c r="P23" s="27">
        <f t="shared" si="19"/>
        <v>0.7</v>
      </c>
      <c r="Q23" s="27">
        <f t="shared" si="4"/>
        <v>3</v>
      </c>
      <c r="R23" s="27">
        <f t="shared" si="5"/>
        <v>0.56000000000000005</v>
      </c>
      <c r="S23" s="18">
        <f t="shared" si="20"/>
        <v>3</v>
      </c>
      <c r="T23" s="27">
        <f t="shared" si="21"/>
        <v>0.7</v>
      </c>
      <c r="U23" s="27">
        <f t="shared" si="6"/>
        <v>4</v>
      </c>
      <c r="V23" s="27">
        <f t="shared" si="22"/>
        <v>0.7919595949289332</v>
      </c>
      <c r="W23" s="18">
        <f t="shared" si="23"/>
        <v>3</v>
      </c>
      <c r="X23" s="27">
        <f t="shared" si="7"/>
        <v>0.19798989873223327</v>
      </c>
      <c r="Y23" s="11">
        <f t="shared" si="24"/>
        <v>4</v>
      </c>
      <c r="Z23" s="27">
        <f t="shared" si="8"/>
        <v>0.3959797974644666</v>
      </c>
      <c r="AA23" s="18">
        <f t="shared" si="9"/>
        <v>2</v>
      </c>
      <c r="AB23" s="27">
        <f t="shared" si="25"/>
        <v>15.903717164502531</v>
      </c>
      <c r="AC23" s="18">
        <f t="shared" si="26"/>
        <v>1.4122500842078247E-2</v>
      </c>
      <c r="AD23" s="21">
        <f t="shared" si="27"/>
        <v>0.26541873095401963</v>
      </c>
      <c r="AE23" s="27">
        <f t="shared" si="28"/>
        <v>0.26541873095401963</v>
      </c>
      <c r="AF23" s="11">
        <f t="shared" si="10"/>
        <v>0.20603520000000003</v>
      </c>
      <c r="AG23" s="11">
        <f t="shared" si="29"/>
        <v>0.26872874064379121</v>
      </c>
      <c r="AH23" s="18">
        <f t="shared" si="30"/>
        <v>5.5437171645025316</v>
      </c>
      <c r="AI23" s="27">
        <f t="shared" si="11"/>
        <v>2.0441562051499194</v>
      </c>
      <c r="AJ23" s="18" t="str">
        <f t="shared" si="31"/>
        <v>CUMPLE</v>
      </c>
      <c r="AK23" s="26">
        <f t="shared" si="12"/>
        <v>2.0434408323150146</v>
      </c>
      <c r="AL23" s="18" t="str">
        <f t="shared" si="32"/>
        <v>CUMPLE</v>
      </c>
      <c r="AM23" s="92">
        <f t="shared" si="33"/>
        <v>6.6517633942601497</v>
      </c>
      <c r="AN23" s="56" t="str">
        <f t="shared" si="34"/>
        <v>CUMPLE</v>
      </c>
    </row>
    <row r="24" spans="1:40">
      <c r="A24" s="54">
        <v>200</v>
      </c>
      <c r="B24" s="10">
        <v>90</v>
      </c>
      <c r="C24" s="10">
        <v>10</v>
      </c>
      <c r="D24" s="18">
        <f t="shared" si="13"/>
        <v>4.4428829381583661</v>
      </c>
      <c r="E24" s="126">
        <v>4</v>
      </c>
      <c r="F24" s="55">
        <f t="shared" si="0"/>
        <v>0.8</v>
      </c>
      <c r="G24" s="55">
        <f t="shared" si="1"/>
        <v>0.56568542494923812</v>
      </c>
      <c r="H24" s="55">
        <f t="shared" si="2"/>
        <v>1.131370849898476</v>
      </c>
      <c r="I24" s="55">
        <f t="shared" si="14"/>
        <v>0.32000000000000006</v>
      </c>
      <c r="J24" s="73">
        <v>0.7</v>
      </c>
      <c r="K24" s="27">
        <f t="shared" si="15"/>
        <v>1.9119595949289332</v>
      </c>
      <c r="L24" s="50">
        <f t="shared" si="16"/>
        <v>0.22400000000000003</v>
      </c>
      <c r="M24" s="100">
        <f t="shared" si="3"/>
        <v>9.8696044010893602E-3</v>
      </c>
      <c r="N24" s="49">
        <f t="shared" si="17"/>
        <v>0.21413039559891067</v>
      </c>
      <c r="O24" s="18">
        <f t="shared" si="18"/>
        <v>0.51391294943738564</v>
      </c>
      <c r="P24" s="27">
        <f t="shared" si="19"/>
        <v>0.7</v>
      </c>
      <c r="Q24" s="27">
        <f t="shared" si="4"/>
        <v>4</v>
      </c>
      <c r="R24" s="27">
        <f t="shared" si="5"/>
        <v>0.8</v>
      </c>
      <c r="S24" s="18">
        <f t="shared" si="20"/>
        <v>3</v>
      </c>
      <c r="T24" s="27">
        <f t="shared" si="21"/>
        <v>0.7</v>
      </c>
      <c r="U24" s="27">
        <f t="shared" si="6"/>
        <v>5</v>
      </c>
      <c r="V24" s="27">
        <f t="shared" si="22"/>
        <v>1.131370849898476</v>
      </c>
      <c r="W24" s="18">
        <f t="shared" si="23"/>
        <v>3</v>
      </c>
      <c r="X24" s="27">
        <f t="shared" si="7"/>
        <v>0.28284271247461895</v>
      </c>
      <c r="Y24" s="11">
        <f t="shared" si="24"/>
        <v>5</v>
      </c>
      <c r="Z24" s="27">
        <f t="shared" si="8"/>
        <v>0.56568542494923801</v>
      </c>
      <c r="AA24" s="18">
        <f t="shared" si="9"/>
        <v>3</v>
      </c>
      <c r="AB24" s="27">
        <f t="shared" si="25"/>
        <v>23.516652224137044</v>
      </c>
      <c r="AC24" s="18">
        <f t="shared" si="26"/>
        <v>2.0882787175033696E-2</v>
      </c>
      <c r="AD24" s="21">
        <f t="shared" si="27"/>
        <v>0.5347957366124193</v>
      </c>
      <c r="AE24" s="27">
        <f t="shared" si="28"/>
        <v>0.5347957366124193</v>
      </c>
      <c r="AF24" s="11">
        <f t="shared" si="10"/>
        <v>0.43200000000000011</v>
      </c>
      <c r="AG24" s="11">
        <f t="shared" si="29"/>
        <v>0.55107356986907896</v>
      </c>
      <c r="AH24" s="18">
        <f t="shared" si="30"/>
        <v>7.9195959492893317</v>
      </c>
      <c r="AI24" s="27">
        <f t="shared" si="11"/>
        <v>1.9065704942182466</v>
      </c>
      <c r="AJ24" s="18" t="str">
        <f t="shared" si="31"/>
        <v>CUMPLE</v>
      </c>
      <c r="AK24" s="26">
        <f t="shared" si="12"/>
        <v>1.9583871574201266</v>
      </c>
      <c r="AL24" s="18" t="str">
        <f t="shared" si="32"/>
        <v>CUMPLE</v>
      </c>
      <c r="AM24" s="92">
        <f t="shared" si="33"/>
        <v>6.6198057745115086</v>
      </c>
      <c r="AN24" s="56" t="str">
        <f t="shared" si="34"/>
        <v>CUMPLE</v>
      </c>
    </row>
    <row r="25" spans="1:40">
      <c r="A25" s="54">
        <v>225</v>
      </c>
      <c r="B25" s="10">
        <v>90</v>
      </c>
      <c r="C25" s="10">
        <v>10</v>
      </c>
      <c r="D25" s="18">
        <f t="shared" si="13"/>
        <v>5.6230237186066825</v>
      </c>
      <c r="E25" s="126">
        <v>4</v>
      </c>
      <c r="F25" s="55">
        <f t="shared" si="0"/>
        <v>0.9</v>
      </c>
      <c r="G25" s="55">
        <f t="shared" si="1"/>
        <v>0.63639610306789285</v>
      </c>
      <c r="H25" s="55">
        <f t="shared" si="2"/>
        <v>1.2727922061357855</v>
      </c>
      <c r="I25" s="55">
        <f t="shared" si="14"/>
        <v>0.40500000000000003</v>
      </c>
      <c r="J25" s="73">
        <v>0.8</v>
      </c>
      <c r="K25" s="27">
        <f t="shared" si="15"/>
        <v>2.4582337649086288</v>
      </c>
      <c r="L25" s="50">
        <f t="shared" si="16"/>
        <v>0.32400000000000007</v>
      </c>
      <c r="M25" s="100">
        <f t="shared" si="3"/>
        <v>1.4052620328894809E-2</v>
      </c>
      <c r="N25" s="49">
        <f t="shared" si="17"/>
        <v>0.30994737967110525</v>
      </c>
      <c r="O25" s="18">
        <f t="shared" si="18"/>
        <v>0.7438737112106526</v>
      </c>
      <c r="P25" s="27">
        <f t="shared" si="19"/>
        <v>0.8</v>
      </c>
      <c r="Q25" s="27">
        <f t="shared" si="4"/>
        <v>4</v>
      </c>
      <c r="R25" s="27">
        <f t="shared" si="5"/>
        <v>0.9</v>
      </c>
      <c r="S25" s="18">
        <f t="shared" si="20"/>
        <v>4</v>
      </c>
      <c r="T25" s="27">
        <f t="shared" si="21"/>
        <v>0.8</v>
      </c>
      <c r="U25" s="27">
        <f t="shared" si="6"/>
        <v>6</v>
      </c>
      <c r="V25" s="27">
        <f t="shared" si="22"/>
        <v>1.2727922061357855</v>
      </c>
      <c r="W25" s="18">
        <f t="shared" si="23"/>
        <v>4</v>
      </c>
      <c r="X25" s="27">
        <f t="shared" si="7"/>
        <v>0.31819805153394631</v>
      </c>
      <c r="Y25" s="11">
        <f t="shared" si="24"/>
        <v>6</v>
      </c>
      <c r="Z25" s="27">
        <f t="shared" si="8"/>
        <v>0.63639610306789274</v>
      </c>
      <c r="AA25" s="18">
        <f t="shared" si="9"/>
        <v>3</v>
      </c>
      <c r="AB25" s="27">
        <f t="shared" si="25"/>
        <v>31.127922061357857</v>
      </c>
      <c r="AC25" s="18">
        <f t="shared" si="26"/>
        <v>2.7641594790485776E-2</v>
      </c>
      <c r="AD25" s="21">
        <f t="shared" si="27"/>
        <v>0.77151530600113838</v>
      </c>
      <c r="AE25" s="27">
        <f t="shared" si="28"/>
        <v>0.77151530600113838</v>
      </c>
      <c r="AF25" s="11">
        <f t="shared" si="10"/>
        <v>0.51941250000000005</v>
      </c>
      <c r="AG25" s="11">
        <f t="shared" si="29"/>
        <v>0.73582884942064886</v>
      </c>
      <c r="AH25" s="18">
        <f t="shared" si="30"/>
        <v>10.182337649086284</v>
      </c>
      <c r="AI25" s="27">
        <f t="shared" si="11"/>
        <v>1.9416895686174205</v>
      </c>
      <c r="AJ25" s="18" t="str">
        <f t="shared" si="31"/>
        <v>CUMPLE</v>
      </c>
      <c r="AK25" s="26">
        <f t="shared" si="12"/>
        <v>1.9934585005121039</v>
      </c>
      <c r="AL25" s="18" t="str">
        <f t="shared" si="32"/>
        <v>CUMPLE</v>
      </c>
      <c r="AM25" s="92">
        <f t="shared" si="33"/>
        <v>6.2745569212666394</v>
      </c>
      <c r="AN25" s="56" t="str">
        <f t="shared" si="34"/>
        <v>CUMPLE</v>
      </c>
    </row>
    <row r="26" spans="1:40">
      <c r="A26" s="54">
        <v>315</v>
      </c>
      <c r="B26" s="10">
        <v>90</v>
      </c>
      <c r="C26" s="10">
        <v>10</v>
      </c>
      <c r="D26" s="18">
        <f t="shared" si="13"/>
        <v>11.021126488469097</v>
      </c>
      <c r="E26" s="126">
        <v>5</v>
      </c>
      <c r="F26" s="55">
        <f t="shared" si="0"/>
        <v>1.575</v>
      </c>
      <c r="G26" s="55">
        <f t="shared" si="1"/>
        <v>1.1136931803688124</v>
      </c>
      <c r="H26" s="55">
        <f t="shared" si="2"/>
        <v>2.2273863607376243</v>
      </c>
      <c r="I26" s="55">
        <f t="shared" si="14"/>
        <v>1.2403124999999997</v>
      </c>
      <c r="J26" s="73">
        <v>0.8</v>
      </c>
      <c r="K26" s="27">
        <f t="shared" si="15"/>
        <v>4.3019090885900999</v>
      </c>
      <c r="L26" s="50">
        <f t="shared" si="16"/>
        <v>0.99224999999999985</v>
      </c>
      <c r="M26" s="100">
        <f t="shared" si="3"/>
        <v>3.8560390182487359E-2</v>
      </c>
      <c r="N26" s="49">
        <f t="shared" si="17"/>
        <v>0.9536896098175125</v>
      </c>
      <c r="O26" s="18">
        <f t="shared" si="18"/>
        <v>2.2888550635620297</v>
      </c>
      <c r="P26" s="27">
        <f t="shared" si="19"/>
        <v>0.8</v>
      </c>
      <c r="Q26" s="27">
        <f t="shared" si="4"/>
        <v>7</v>
      </c>
      <c r="R26" s="27">
        <f t="shared" si="5"/>
        <v>1.575</v>
      </c>
      <c r="S26" s="18">
        <f t="shared" si="20"/>
        <v>4</v>
      </c>
      <c r="T26" s="27">
        <f t="shared" si="21"/>
        <v>0.8</v>
      </c>
      <c r="U26" s="27">
        <f t="shared" si="6"/>
        <v>9</v>
      </c>
      <c r="V26" s="27">
        <f t="shared" si="22"/>
        <v>2.2273863607376243</v>
      </c>
      <c r="W26" s="18">
        <f t="shared" si="23"/>
        <v>4</v>
      </c>
      <c r="X26" s="27">
        <f t="shared" si="7"/>
        <v>0.55684659018440597</v>
      </c>
      <c r="Y26" s="11">
        <f t="shared" si="24"/>
        <v>9</v>
      </c>
      <c r="Z26" s="27">
        <f t="shared" si="8"/>
        <v>1.1136931803688122</v>
      </c>
      <c r="AA26" s="18">
        <f t="shared" si="9"/>
        <v>5</v>
      </c>
      <c r="AB26" s="27">
        <f t="shared" si="25"/>
        <v>61.069715869957932</v>
      </c>
      <c r="AC26" s="18">
        <f t="shared" si="26"/>
        <v>5.4229907692522644E-2</v>
      </c>
      <c r="AD26" s="21">
        <f t="shared" si="27"/>
        <v>2.3430849712545525</v>
      </c>
      <c r="AE26" s="27">
        <f t="shared" si="28"/>
        <v>2.3430849712545525</v>
      </c>
      <c r="AF26" s="11">
        <f t="shared" si="10"/>
        <v>1.6911660937499995</v>
      </c>
      <c r="AG26" s="11">
        <f t="shared" si="29"/>
        <v>2.2995231070525946</v>
      </c>
      <c r="AH26" s="18">
        <f t="shared" si="30"/>
        <v>17.819090885900994</v>
      </c>
      <c r="AI26" s="27">
        <f t="shared" si="11"/>
        <v>1.8254589504986425</v>
      </c>
      <c r="AJ26" s="18" t="str">
        <f t="shared" si="31"/>
        <v>CUMPLE</v>
      </c>
      <c r="AK26" s="26">
        <f t="shared" si="12"/>
        <v>2.126392277972601</v>
      </c>
      <c r="AL26" s="18" t="str">
        <f t="shared" si="32"/>
        <v>CUMPLE</v>
      </c>
      <c r="AM26" s="92">
        <f t="shared" si="33"/>
        <v>6.148910814000617</v>
      </c>
      <c r="AN26" s="56" t="str">
        <f t="shared" si="34"/>
        <v>CUMPLE</v>
      </c>
    </row>
    <row r="27" spans="1:40">
      <c r="A27" s="166">
        <v>400</v>
      </c>
      <c r="B27" s="10">
        <v>90</v>
      </c>
      <c r="C27" s="10">
        <v>10</v>
      </c>
      <c r="D27" s="18">
        <f t="shared" ref="D27:D29" si="35">2*(C27/0.0001)*(PI()*(A27/1000)^2/4)*SIN(RADIANS(B27)/2)/1000</f>
        <v>17.771531752633464</v>
      </c>
      <c r="E27" s="126">
        <v>5</v>
      </c>
      <c r="F27" s="55">
        <f t="shared" ref="F27:F29" si="36">+E27*(A27/1000)</f>
        <v>2</v>
      </c>
      <c r="G27" s="55">
        <f t="shared" ref="G27:G29" si="37">+F27*COS(RADIANS(B27/2))</f>
        <v>1.4142135623730951</v>
      </c>
      <c r="H27" s="55">
        <f t="shared" ref="H27:H29" si="38">+F27*SIN(RADIANS(B27/2))*2</f>
        <v>2.8284271247461898</v>
      </c>
      <c r="I27" s="55">
        <f t="shared" ref="I27:I29" si="39">0.5*H27*G27</f>
        <v>2</v>
      </c>
      <c r="J27" s="73">
        <v>0.9</v>
      </c>
      <c r="K27" s="27">
        <f t="shared" ref="K27:K29" si="40">+(F27*2+H27)*J27</f>
        <v>6.145584412271571</v>
      </c>
      <c r="L27" s="50">
        <f t="shared" ref="L27:L29" si="41">+I27*J27</f>
        <v>1.8</v>
      </c>
      <c r="M27" s="100">
        <f t="shared" ref="M27:M29" si="42">+PI()*(A27/1000)^2/4*(A27/1000)*RADIANS(B27)</f>
        <v>7.8956835208714882E-2</v>
      </c>
      <c r="N27" s="49">
        <f t="shared" ref="N27:N29" si="43">+L27-M27</f>
        <v>1.7210431647912852</v>
      </c>
      <c r="O27" s="18">
        <f t="shared" ref="O27:O29" si="44">+N27*$D$2</f>
        <v>4.1305035954990839</v>
      </c>
      <c r="P27" s="27">
        <f t="shared" ref="P27:P29" si="45">+J27</f>
        <v>0.9</v>
      </c>
      <c r="Q27" s="27">
        <f t="shared" ref="Q27:Q29" si="46">+ROUND((F27-2*($J$2/1000))/($J$4/1000),0)+1</f>
        <v>8</v>
      </c>
      <c r="R27" s="27">
        <f t="shared" ref="R27:R29" si="47">+F27</f>
        <v>2</v>
      </c>
      <c r="S27" s="18">
        <f t="shared" ref="S27:S29" si="48">+ROUND((J27-2*($J$2/1000))/($J$4/1000),0)+1</f>
        <v>4</v>
      </c>
      <c r="T27" s="27">
        <f t="shared" ref="T27:T29" si="49">+J27</f>
        <v>0.9</v>
      </c>
      <c r="U27" s="27">
        <f t="shared" ref="U27:U29" si="50">+ROUND((H27-2*($J$2/1000))/($J$4/1000),0)+1</f>
        <v>12</v>
      </c>
      <c r="V27" s="27">
        <f t="shared" ref="V27:V29" si="51">+H27</f>
        <v>2.8284271247461898</v>
      </c>
      <c r="W27" s="18">
        <f t="shared" ref="W27:W29" si="52">+ROUND((J27-2*($J$2/1000))/($J$4/1000),0)+1</f>
        <v>4</v>
      </c>
      <c r="X27" s="27">
        <f t="shared" ref="X27:X29" si="53">+TAN(RADIANS(180-(B27)/2-90))*H27/4</f>
        <v>0.70710678118654735</v>
      </c>
      <c r="Y27" s="11">
        <f t="shared" ref="Y27:Y29" si="54">+ROUND((H27-2*($J$2/1000))/($J$4/1000),0)+1</f>
        <v>12</v>
      </c>
      <c r="Z27" s="27">
        <f t="shared" ref="Z27:Z29" si="55">+H27/2</f>
        <v>1.4142135623730949</v>
      </c>
      <c r="AA27" s="18">
        <f t="shared" ref="AA27:AA29" si="56">+ROUND((G27-2*($J$2/1000))/($J$4/1000),0)+1</f>
        <v>6</v>
      </c>
      <c r="AB27" s="27">
        <f t="shared" ref="AB27:AB29" si="57">+(P27*Q27+R27*S27)*2+(T27*U27+V27*W27)+(X27*Y27+Z27*AA27)*2</f>
        <v>86.454833995939026</v>
      </c>
      <c r="AC27" s="18">
        <f t="shared" ref="AC27:AC29" si="58">+AB27*$J$5/1000</f>
        <v>7.6771892588393856E-2</v>
      </c>
      <c r="AD27" s="21">
        <f t="shared" ref="AD27:AD29" si="59">+O27+AC27</f>
        <v>4.2072754880874781</v>
      </c>
      <c r="AE27" s="27">
        <f t="shared" ref="AE27:AE29" si="60">+AD27</f>
        <v>4.2072754880874781</v>
      </c>
      <c r="AF27" s="11">
        <f t="shared" ref="AF27:AF29" si="61">+I27*($D$9-(J27/2-A27/2000))*$D$4</f>
        <v>2.7</v>
      </c>
      <c r="AG27" s="11">
        <f t="shared" ref="AG27:AG29" si="62">+$D$5*(AE27+AF27)</f>
        <v>3.9371470282098624</v>
      </c>
      <c r="AH27" s="18">
        <f t="shared" ref="AH27:AH29" si="63">+(J27*H27)*$D$6</f>
        <v>25.45584412271571</v>
      </c>
      <c r="AI27" s="27">
        <f t="shared" ref="AI27:AI29" si="64">+(AG27+AH27)/D27</f>
        <v>1.6539368446149831</v>
      </c>
      <c r="AJ27" s="18" t="str">
        <f t="shared" ref="AJ27:AJ29" si="65">+IF(AI27&gt;$N$2,"CUMPLE",IF(AI27=$N$2,"CUMPLE","NO CUMPLE"))</f>
        <v>CUMPLE</v>
      </c>
      <c r="AK27" s="26">
        <f t="shared" ref="AK27:AK29" si="66">+(AE27*G27/2+AF27*G27/2+AH27*J27/2)/(D27*J27/2)</f>
        <v>2.0431317307307282</v>
      </c>
      <c r="AL27" s="18" t="str">
        <f t="shared" ref="AL27:AL29" si="67">+IF(AK27&gt;$N$3,"CUMPLE",IF(AK27=$N$3,"CUMPLE","NO CUMPLE"))</f>
        <v>CUMPLE</v>
      </c>
      <c r="AM27" s="92">
        <f t="shared" ref="AM27:AM29" si="68">+$D$7/((AE27+AF27)/I27)</f>
        <v>5.7909953163132641</v>
      </c>
      <c r="AN27" s="56" t="str">
        <f t="shared" ref="AN27:AN29" si="69">+IF(AM27&gt;$N$4,"CUMPLE",IF(AM27=$N$4,"CUMPLE","NO CUMPLE"))</f>
        <v>CUMPLE</v>
      </c>
    </row>
    <row r="28" spans="1:40">
      <c r="A28" s="166">
        <v>500</v>
      </c>
      <c r="B28" s="10">
        <v>90</v>
      </c>
      <c r="C28" s="10">
        <v>10</v>
      </c>
      <c r="D28" s="18">
        <f t="shared" si="35"/>
        <v>27.768018363489784</v>
      </c>
      <c r="E28" s="126">
        <v>5</v>
      </c>
      <c r="F28" s="55">
        <f t="shared" si="36"/>
        <v>2.5</v>
      </c>
      <c r="G28" s="55">
        <f t="shared" si="37"/>
        <v>1.7677669529663689</v>
      </c>
      <c r="H28" s="55">
        <f t="shared" si="38"/>
        <v>3.5355339059327373</v>
      </c>
      <c r="I28" s="55">
        <f t="shared" si="39"/>
        <v>3.125</v>
      </c>
      <c r="J28" s="73">
        <v>1</v>
      </c>
      <c r="K28" s="27">
        <f t="shared" si="40"/>
        <v>8.5355339059327378</v>
      </c>
      <c r="L28" s="50">
        <f t="shared" si="41"/>
        <v>3.125</v>
      </c>
      <c r="M28" s="100">
        <f t="shared" si="42"/>
        <v>0.15421256876702122</v>
      </c>
      <c r="N28" s="49">
        <f t="shared" si="43"/>
        <v>2.9707874312329787</v>
      </c>
      <c r="O28" s="18">
        <f t="shared" si="44"/>
        <v>7.1298898349591484</v>
      </c>
      <c r="P28" s="27">
        <f t="shared" si="45"/>
        <v>1</v>
      </c>
      <c r="Q28" s="27">
        <f t="shared" si="46"/>
        <v>10</v>
      </c>
      <c r="R28" s="27">
        <f t="shared" si="47"/>
        <v>2.5</v>
      </c>
      <c r="S28" s="18">
        <f t="shared" si="48"/>
        <v>4</v>
      </c>
      <c r="T28" s="27">
        <f t="shared" si="49"/>
        <v>1</v>
      </c>
      <c r="U28" s="27">
        <f t="shared" si="50"/>
        <v>15</v>
      </c>
      <c r="V28" s="27">
        <f t="shared" si="51"/>
        <v>3.5355339059327373</v>
      </c>
      <c r="W28" s="18">
        <f t="shared" si="52"/>
        <v>4</v>
      </c>
      <c r="X28" s="27">
        <f t="shared" si="53"/>
        <v>0.88388347648318422</v>
      </c>
      <c r="Y28" s="11">
        <f t="shared" si="54"/>
        <v>15</v>
      </c>
      <c r="Z28" s="27">
        <f t="shared" si="55"/>
        <v>1.7677669529663687</v>
      </c>
      <c r="AA28" s="18">
        <f t="shared" si="56"/>
        <v>8</v>
      </c>
      <c r="AB28" s="27">
        <f t="shared" si="57"/>
        <v>123.94291116568837</v>
      </c>
      <c r="AC28" s="18">
        <f t="shared" si="58"/>
        <v>0.11006130511513128</v>
      </c>
      <c r="AD28" s="21">
        <f t="shared" si="59"/>
        <v>7.2399511400742798</v>
      </c>
      <c r="AE28" s="27">
        <f t="shared" si="60"/>
        <v>7.2399511400742798</v>
      </c>
      <c r="AF28" s="11">
        <f t="shared" si="61"/>
        <v>4.21875</v>
      </c>
      <c r="AG28" s="11">
        <f t="shared" si="62"/>
        <v>6.5314596498423381</v>
      </c>
      <c r="AH28" s="18">
        <f t="shared" si="63"/>
        <v>35.35533905932737</v>
      </c>
      <c r="AI28" s="27">
        <f t="shared" si="64"/>
        <v>1.5084547323781563</v>
      </c>
      <c r="AJ28" s="18" t="str">
        <f t="shared" si="65"/>
        <v>CUMPLE</v>
      </c>
      <c r="AK28" s="26">
        <f t="shared" si="66"/>
        <v>2.0027231158773864</v>
      </c>
      <c r="AL28" s="18" t="str">
        <f t="shared" si="67"/>
        <v>CUMPLE</v>
      </c>
      <c r="AM28" s="92">
        <f t="shared" si="68"/>
        <v>5.4543703719979257</v>
      </c>
      <c r="AN28" s="56" t="str">
        <f t="shared" si="69"/>
        <v>CUMPLE</v>
      </c>
    </row>
    <row r="29" spans="1:40">
      <c r="A29" s="166">
        <v>630</v>
      </c>
      <c r="B29" s="10">
        <v>90</v>
      </c>
      <c r="C29" s="10">
        <v>10</v>
      </c>
      <c r="D29" s="18">
        <f t="shared" si="35"/>
        <v>44.084505953876388</v>
      </c>
      <c r="E29" s="126">
        <v>5</v>
      </c>
      <c r="F29" s="55">
        <f t="shared" si="36"/>
        <v>3.15</v>
      </c>
      <c r="G29" s="55">
        <f t="shared" si="37"/>
        <v>2.2273863607376247</v>
      </c>
      <c r="H29" s="55">
        <f t="shared" si="38"/>
        <v>4.4547727214752486</v>
      </c>
      <c r="I29" s="55">
        <f t="shared" si="39"/>
        <v>4.9612499999999988</v>
      </c>
      <c r="J29" s="73">
        <v>1.3</v>
      </c>
      <c r="K29" s="27">
        <f t="shared" si="40"/>
        <v>13.981204537917824</v>
      </c>
      <c r="L29" s="50">
        <f t="shared" si="41"/>
        <v>6.4496249999999984</v>
      </c>
      <c r="M29" s="100">
        <f t="shared" si="42"/>
        <v>0.30848312145989887</v>
      </c>
      <c r="N29" s="49">
        <f t="shared" si="43"/>
        <v>6.1411418785400995</v>
      </c>
      <c r="O29" s="18">
        <f t="shared" si="44"/>
        <v>14.738740508496239</v>
      </c>
      <c r="P29" s="27">
        <f t="shared" si="45"/>
        <v>1.3</v>
      </c>
      <c r="Q29" s="27">
        <f t="shared" si="46"/>
        <v>13</v>
      </c>
      <c r="R29" s="27">
        <f t="shared" si="47"/>
        <v>3.15</v>
      </c>
      <c r="S29" s="18">
        <f t="shared" si="48"/>
        <v>6</v>
      </c>
      <c r="T29" s="27">
        <f t="shared" si="49"/>
        <v>1.3</v>
      </c>
      <c r="U29" s="27">
        <f t="shared" si="50"/>
        <v>18</v>
      </c>
      <c r="V29" s="27">
        <f t="shared" si="51"/>
        <v>4.4547727214752486</v>
      </c>
      <c r="W29" s="18">
        <f t="shared" si="52"/>
        <v>6</v>
      </c>
      <c r="X29" s="27">
        <f t="shared" si="53"/>
        <v>1.1136931803688119</v>
      </c>
      <c r="Y29" s="11">
        <f t="shared" si="54"/>
        <v>18</v>
      </c>
      <c r="Z29" s="27">
        <f t="shared" si="55"/>
        <v>2.2273863607376243</v>
      </c>
      <c r="AA29" s="18">
        <f t="shared" si="56"/>
        <v>9</v>
      </c>
      <c r="AB29" s="27">
        <f t="shared" si="57"/>
        <v>201.91454531540597</v>
      </c>
      <c r="AC29" s="18">
        <f t="shared" si="58"/>
        <v>0.17930011624008052</v>
      </c>
      <c r="AD29" s="21">
        <f t="shared" si="59"/>
        <v>14.918040624736319</v>
      </c>
      <c r="AE29" s="27">
        <f t="shared" si="60"/>
        <v>14.918040624736319</v>
      </c>
      <c r="AF29" s="11">
        <f t="shared" si="61"/>
        <v>5.938616249999999</v>
      </c>
      <c r="AG29" s="11">
        <f t="shared" si="62"/>
        <v>11.888294418599699</v>
      </c>
      <c r="AH29" s="18">
        <f t="shared" si="63"/>
        <v>57.912045379178238</v>
      </c>
      <c r="AI29" s="27">
        <f t="shared" si="64"/>
        <v>1.583330430668926</v>
      </c>
      <c r="AJ29" s="18" t="str">
        <f t="shared" si="65"/>
        <v>CUMPLE</v>
      </c>
      <c r="AK29" s="26">
        <f t="shared" si="66"/>
        <v>2.1242679156268398</v>
      </c>
      <c r="AL29" s="18" t="str">
        <f t="shared" si="67"/>
        <v>CUMPLE</v>
      </c>
      <c r="AM29" s="92">
        <f t="shared" si="68"/>
        <v>4.7574738653437443</v>
      </c>
      <c r="AN29" s="56" t="str">
        <f t="shared" si="69"/>
        <v>CUMPLE</v>
      </c>
    </row>
  </sheetData>
  <mergeCells count="11">
    <mergeCell ref="E16:L16"/>
    <mergeCell ref="AB16:AC16"/>
    <mergeCell ref="AK17:AL17"/>
    <mergeCell ref="AM17:AN17"/>
    <mergeCell ref="AI16:AN16"/>
    <mergeCell ref="AI17:AJ17"/>
    <mergeCell ref="P16:S16"/>
    <mergeCell ref="T16:W16"/>
    <mergeCell ref="X16:AA16"/>
    <mergeCell ref="AE16:AH16"/>
    <mergeCell ref="M16:O1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4"/>
  <sheetViews>
    <sheetView zoomScale="85" zoomScaleNormal="85" workbookViewId="0">
      <selection activeCell="K31" sqref="K31"/>
    </sheetView>
  </sheetViews>
  <sheetFormatPr baseColWidth="10" defaultRowHeight="15"/>
  <cols>
    <col min="1" max="10" width="11.42578125" style="42"/>
    <col min="11" max="14" width="11.42578125" style="42" customWidth="1"/>
    <col min="15" max="19" width="14.7109375" style="42" hidden="1" customWidth="1"/>
    <col min="20" max="39" width="11.42578125" style="42" hidden="1" customWidth="1"/>
    <col min="40" max="41" width="14.7109375" style="42" hidden="1" customWidth="1"/>
    <col min="42" max="43" width="15.140625" style="42" hidden="1" customWidth="1"/>
    <col min="44" max="47" width="11.42578125" style="42" hidden="1" customWidth="1"/>
    <col min="48" max="16384" width="11.42578125" style="42"/>
  </cols>
  <sheetData>
    <row r="1" spans="1:53">
      <c r="A1" s="4" t="s">
        <v>35</v>
      </c>
      <c r="F1" s="3"/>
      <c r="G1" s="4" t="s">
        <v>36</v>
      </c>
      <c r="L1" s="4" t="s">
        <v>88</v>
      </c>
      <c r="M1" s="4"/>
      <c r="AB1" s="2"/>
      <c r="AC1" s="2"/>
      <c r="AD1" s="2"/>
    </row>
    <row r="2" spans="1:53">
      <c r="A2" s="5" t="s">
        <v>4</v>
      </c>
      <c r="D2" s="44">
        <v>2.4</v>
      </c>
      <c r="E2" s="13" t="s">
        <v>0</v>
      </c>
      <c r="G2" s="5" t="s">
        <v>30</v>
      </c>
      <c r="H2" s="44"/>
      <c r="I2" s="43">
        <v>70</v>
      </c>
      <c r="J2" s="45" t="s">
        <v>33</v>
      </c>
      <c r="K2" s="45"/>
      <c r="L2" s="5" t="s">
        <v>49</v>
      </c>
      <c r="M2" s="3">
        <v>1.5</v>
      </c>
      <c r="N2" s="45" t="s">
        <v>51</v>
      </c>
    </row>
    <row r="3" spans="1:53">
      <c r="A3" s="5" t="s">
        <v>5</v>
      </c>
      <c r="D3" s="44">
        <v>7.85</v>
      </c>
      <c r="E3" s="13" t="s">
        <v>0</v>
      </c>
      <c r="G3" s="5" t="s">
        <v>32</v>
      </c>
      <c r="H3" s="44"/>
      <c r="I3" s="43">
        <v>12</v>
      </c>
      <c r="J3" s="45" t="s">
        <v>33</v>
      </c>
      <c r="K3" s="45"/>
      <c r="L3" s="5" t="s">
        <v>50</v>
      </c>
      <c r="M3" s="3">
        <v>1.8</v>
      </c>
      <c r="N3" s="45" t="s">
        <v>52</v>
      </c>
    </row>
    <row r="4" spans="1:53">
      <c r="A4" s="5" t="s">
        <v>6</v>
      </c>
      <c r="D4" s="44">
        <v>1.8</v>
      </c>
      <c r="E4" s="13" t="s">
        <v>0</v>
      </c>
      <c r="G4" s="5" t="s">
        <v>31</v>
      </c>
      <c r="H4" s="44"/>
      <c r="I4" s="43">
        <v>250</v>
      </c>
      <c r="J4" s="45" t="s">
        <v>33</v>
      </c>
      <c r="K4" s="45"/>
      <c r="L4" s="5" t="s">
        <v>63</v>
      </c>
      <c r="M4" s="3">
        <v>3</v>
      </c>
      <c r="N4" s="45" t="s">
        <v>64</v>
      </c>
    </row>
    <row r="5" spans="1:53">
      <c r="A5" s="5" t="s">
        <v>34</v>
      </c>
      <c r="D5" s="44">
        <v>0.56999999999999995</v>
      </c>
      <c r="E5" s="5"/>
      <c r="G5" s="5" t="s">
        <v>91</v>
      </c>
      <c r="H5" s="44"/>
      <c r="I5" s="43">
        <v>0.88800000000000001</v>
      </c>
      <c r="J5" s="45" t="s">
        <v>92</v>
      </c>
      <c r="K5" s="43"/>
      <c r="L5" s="43"/>
      <c r="M5" s="43"/>
      <c r="N5" s="43"/>
      <c r="O5" s="43"/>
    </row>
    <row r="6" spans="1:53">
      <c r="A6" s="5" t="s">
        <v>123</v>
      </c>
      <c r="D6" s="44">
        <f>+D7*D8</f>
        <v>10</v>
      </c>
      <c r="E6" s="13" t="s">
        <v>1</v>
      </c>
      <c r="F6" s="45"/>
      <c r="G6" s="8"/>
      <c r="H6" s="44"/>
      <c r="I6" s="43"/>
      <c r="J6" s="43"/>
      <c r="K6" s="43"/>
      <c r="L6" s="43"/>
      <c r="M6" s="43"/>
      <c r="N6" s="43"/>
      <c r="O6" s="43"/>
    </row>
    <row r="7" spans="1:53">
      <c r="A7" s="5" t="s">
        <v>131</v>
      </c>
      <c r="D7" s="44">
        <v>20</v>
      </c>
      <c r="E7" s="13" t="s">
        <v>1</v>
      </c>
      <c r="F7" s="88" t="s">
        <v>130</v>
      </c>
      <c r="G7" s="88"/>
      <c r="H7" s="89"/>
      <c r="I7" s="90"/>
      <c r="J7" s="91"/>
      <c r="K7" s="43"/>
      <c r="L7" s="43"/>
      <c r="M7" s="43"/>
      <c r="N7" s="43"/>
      <c r="O7" s="43"/>
    </row>
    <row r="8" spans="1:53">
      <c r="A8" s="5" t="s">
        <v>129</v>
      </c>
      <c r="D8" s="44">
        <v>0.5</v>
      </c>
      <c r="E8" s="13"/>
      <c r="F8" s="45"/>
      <c r="G8" s="45"/>
      <c r="H8" s="8"/>
      <c r="I8" s="44"/>
      <c r="J8" s="43"/>
      <c r="K8" s="43"/>
      <c r="L8" s="43"/>
      <c r="M8" s="43"/>
      <c r="N8" s="43"/>
      <c r="O8" s="43"/>
    </row>
    <row r="9" spans="1:53">
      <c r="A9" s="5" t="s">
        <v>46</v>
      </c>
      <c r="D9" s="44">
        <v>1</v>
      </c>
      <c r="E9" s="13" t="s">
        <v>47</v>
      </c>
      <c r="G9" s="8"/>
      <c r="H9" s="44"/>
      <c r="I9" s="43"/>
      <c r="J9" s="43"/>
      <c r="K9" s="43"/>
      <c r="L9" s="43"/>
      <c r="M9" s="43"/>
      <c r="N9" s="43"/>
      <c r="O9" s="43"/>
    </row>
    <row r="10" spans="1:53">
      <c r="A10" s="5"/>
      <c r="E10" s="43"/>
      <c r="G10" s="8"/>
      <c r="H10" s="44"/>
      <c r="I10" s="43"/>
      <c r="J10" s="43"/>
      <c r="K10" s="43"/>
      <c r="L10" s="43"/>
      <c r="M10" s="43"/>
      <c r="N10" s="43"/>
      <c r="O10" s="43"/>
      <c r="AR10" s="110"/>
    </row>
    <row r="11" spans="1:53">
      <c r="A11" s="5" t="s">
        <v>37</v>
      </c>
      <c r="B11" s="45" t="s">
        <v>2</v>
      </c>
      <c r="D11" s="44"/>
      <c r="E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3"/>
      <c r="W11" s="43"/>
      <c r="X11" s="43"/>
      <c r="Y11" s="43"/>
      <c r="Z11" s="43"/>
      <c r="AA11" s="43"/>
    </row>
    <row r="12" spans="1:53">
      <c r="A12" s="5" t="s">
        <v>38</v>
      </c>
      <c r="B12" s="45" t="s">
        <v>3</v>
      </c>
      <c r="D12" s="44"/>
      <c r="E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3"/>
      <c r="W12" s="43"/>
      <c r="X12" s="43"/>
      <c r="Y12" s="43"/>
      <c r="Z12" s="43"/>
      <c r="AA12" s="43"/>
    </row>
    <row r="13" spans="1:53">
      <c r="A13" s="5" t="s">
        <v>39</v>
      </c>
      <c r="B13" s="45" t="s">
        <v>40</v>
      </c>
      <c r="D13" s="44"/>
      <c r="E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3"/>
      <c r="W13" s="43"/>
      <c r="X13" s="43"/>
      <c r="Y13" s="43"/>
      <c r="Z13" s="43"/>
      <c r="AA13" s="43"/>
    </row>
    <row r="14" spans="1:53">
      <c r="A14" s="5" t="s">
        <v>41</v>
      </c>
      <c r="B14" s="45" t="s">
        <v>42</v>
      </c>
      <c r="D14" s="44"/>
      <c r="E14" s="43"/>
      <c r="G14" s="44"/>
      <c r="H14" s="44"/>
      <c r="I14" s="44"/>
      <c r="J14" s="44"/>
      <c r="K14" s="44"/>
      <c r="L14" s="44"/>
      <c r="N14" s="44"/>
      <c r="O14" s="44"/>
      <c r="P14" s="44"/>
      <c r="Q14" s="44"/>
      <c r="R14" s="44"/>
      <c r="S14" s="44"/>
      <c r="T14" s="44"/>
      <c r="U14" s="44"/>
      <c r="V14" s="44"/>
      <c r="W14" s="43"/>
      <c r="X14" s="43"/>
      <c r="Y14" s="43"/>
      <c r="Z14" s="43"/>
      <c r="AA14" s="43"/>
      <c r="AB14" s="43"/>
      <c r="AC14" s="43"/>
      <c r="AD14" s="43"/>
    </row>
    <row r="15" spans="1:53" ht="15" customHeight="1">
      <c r="A15" s="112" t="s">
        <v>143</v>
      </c>
      <c r="B15" s="112" t="s">
        <v>144</v>
      </c>
      <c r="C15" s="40"/>
      <c r="E15" s="136" t="s">
        <v>132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48"/>
      <c r="Q15" s="151" t="s">
        <v>57</v>
      </c>
      <c r="R15" s="157"/>
      <c r="S15" s="158"/>
      <c r="T15" s="132" t="s">
        <v>138</v>
      </c>
      <c r="U15" s="132"/>
      <c r="V15" s="132"/>
      <c r="W15" s="132"/>
      <c r="X15" s="136" t="s">
        <v>145</v>
      </c>
      <c r="Y15" s="159"/>
      <c r="Z15" s="159"/>
      <c r="AA15" s="148"/>
      <c r="AB15" s="132" t="s">
        <v>140</v>
      </c>
      <c r="AC15" s="132"/>
      <c r="AD15" s="132"/>
      <c r="AE15" s="132"/>
      <c r="AF15" s="132" t="s">
        <v>141</v>
      </c>
      <c r="AG15" s="132"/>
      <c r="AH15" s="132"/>
      <c r="AI15" s="132"/>
      <c r="AJ15" s="132" t="s">
        <v>104</v>
      </c>
      <c r="AK15" s="132"/>
      <c r="AL15" s="132"/>
      <c r="AM15" s="132"/>
      <c r="AN15" s="153" t="s">
        <v>136</v>
      </c>
      <c r="AO15" s="153"/>
      <c r="AP15" s="111" t="s">
        <v>142</v>
      </c>
      <c r="AQ15" s="115" t="s">
        <v>137</v>
      </c>
      <c r="AR15" s="132" t="s">
        <v>48</v>
      </c>
      <c r="AS15" s="132"/>
      <c r="AT15" s="132"/>
      <c r="AU15" s="132"/>
      <c r="AV15" s="156" t="s">
        <v>133</v>
      </c>
      <c r="AW15" s="156"/>
      <c r="AX15" s="156"/>
      <c r="AY15" s="156"/>
      <c r="AZ15" s="156"/>
      <c r="BA15" s="156"/>
    </row>
    <row r="16" spans="1:53" ht="20.25" customHeight="1">
      <c r="A16" s="52" t="s">
        <v>78</v>
      </c>
      <c r="B16" s="52" t="s">
        <v>79</v>
      </c>
      <c r="C16" s="52" t="s">
        <v>15</v>
      </c>
      <c r="D16" s="16" t="s">
        <v>8</v>
      </c>
      <c r="E16" s="69" t="s">
        <v>125</v>
      </c>
      <c r="F16" s="46" t="s">
        <v>100</v>
      </c>
      <c r="G16" s="69" t="s">
        <v>124</v>
      </c>
      <c r="H16" s="46" t="s">
        <v>101</v>
      </c>
      <c r="I16" s="69" t="s">
        <v>126</v>
      </c>
      <c r="J16" s="46" t="s">
        <v>102</v>
      </c>
      <c r="K16" s="69" t="s">
        <v>127</v>
      </c>
      <c r="L16" s="46" t="s">
        <v>103</v>
      </c>
      <c r="M16" s="47" t="s">
        <v>21</v>
      </c>
      <c r="N16" s="28" t="s">
        <v>20</v>
      </c>
      <c r="O16" s="84" t="s">
        <v>22</v>
      </c>
      <c r="P16" s="94" t="s">
        <v>61</v>
      </c>
      <c r="Q16" s="84" t="s">
        <v>90</v>
      </c>
      <c r="R16" s="84" t="s">
        <v>60</v>
      </c>
      <c r="S16" s="85" t="s">
        <v>25</v>
      </c>
      <c r="T16" s="84" t="s">
        <v>20</v>
      </c>
      <c r="U16" s="84" t="s">
        <v>111</v>
      </c>
      <c r="V16" s="28" t="s">
        <v>100</v>
      </c>
      <c r="W16" s="85" t="s">
        <v>110</v>
      </c>
      <c r="X16" s="84" t="s">
        <v>20</v>
      </c>
      <c r="Y16" s="84" t="s">
        <v>111</v>
      </c>
      <c r="Z16" s="84" t="s">
        <v>108</v>
      </c>
      <c r="AA16" s="85" t="s">
        <v>109</v>
      </c>
      <c r="AB16" s="84" t="s">
        <v>102</v>
      </c>
      <c r="AC16" s="84" t="s">
        <v>112</v>
      </c>
      <c r="AD16" s="84" t="s">
        <v>100</v>
      </c>
      <c r="AE16" s="85" t="s">
        <v>110</v>
      </c>
      <c r="AF16" s="84" t="s">
        <v>103</v>
      </c>
      <c r="AG16" s="84" t="s">
        <v>113</v>
      </c>
      <c r="AH16" s="84" t="s">
        <v>101</v>
      </c>
      <c r="AI16" s="85" t="s">
        <v>114</v>
      </c>
      <c r="AJ16" s="84" t="s">
        <v>105</v>
      </c>
      <c r="AK16" s="84" t="s">
        <v>106</v>
      </c>
      <c r="AL16" s="84" t="s">
        <v>107</v>
      </c>
      <c r="AM16" s="85" t="s">
        <v>115</v>
      </c>
      <c r="AN16" s="114" t="s">
        <v>134</v>
      </c>
      <c r="AO16" s="113" t="s">
        <v>135</v>
      </c>
      <c r="AP16" s="113" t="s">
        <v>135</v>
      </c>
      <c r="AQ16" s="113" t="s">
        <v>135</v>
      </c>
      <c r="AR16" s="22" t="s">
        <v>39</v>
      </c>
      <c r="AS16" s="46" t="s">
        <v>41</v>
      </c>
      <c r="AT16" s="46" t="s">
        <v>37</v>
      </c>
      <c r="AU16" s="94" t="s">
        <v>38</v>
      </c>
      <c r="AV16" s="154" t="s">
        <v>55</v>
      </c>
      <c r="AW16" s="155"/>
      <c r="AX16" s="154" t="s">
        <v>56</v>
      </c>
      <c r="AY16" s="155"/>
      <c r="AZ16" s="154" t="s">
        <v>62</v>
      </c>
      <c r="BA16" s="155"/>
    </row>
    <row r="17" spans="1:53">
      <c r="A17" s="15" t="s">
        <v>9</v>
      </c>
      <c r="B17" s="15" t="s">
        <v>9</v>
      </c>
      <c r="C17" s="15" t="s">
        <v>11</v>
      </c>
      <c r="D17" s="17" t="s">
        <v>12</v>
      </c>
      <c r="E17" s="70" t="s">
        <v>59</v>
      </c>
      <c r="F17" s="46" t="s">
        <v>16</v>
      </c>
      <c r="G17" s="70" t="s">
        <v>59</v>
      </c>
      <c r="H17" s="46" t="s">
        <v>16</v>
      </c>
      <c r="I17" s="70" t="s">
        <v>59</v>
      </c>
      <c r="J17" s="46" t="s">
        <v>16</v>
      </c>
      <c r="K17" s="70" t="s">
        <v>59</v>
      </c>
      <c r="L17" s="46" t="s">
        <v>16</v>
      </c>
      <c r="M17" s="23" t="s">
        <v>23</v>
      </c>
      <c r="N17" s="84" t="s">
        <v>16</v>
      </c>
      <c r="O17" s="25" t="s">
        <v>23</v>
      </c>
      <c r="P17" s="82" t="s">
        <v>24</v>
      </c>
      <c r="Q17" s="68" t="s">
        <v>24</v>
      </c>
      <c r="R17" s="68" t="s">
        <v>24</v>
      </c>
      <c r="S17" s="67" t="s">
        <v>12</v>
      </c>
      <c r="T17" s="68" t="s">
        <v>16</v>
      </c>
      <c r="U17" s="25" t="s">
        <v>29</v>
      </c>
      <c r="V17" s="68" t="s">
        <v>16</v>
      </c>
      <c r="W17" s="17" t="s">
        <v>29</v>
      </c>
      <c r="X17" s="68" t="s">
        <v>16</v>
      </c>
      <c r="Y17" s="25" t="s">
        <v>29</v>
      </c>
      <c r="Z17" s="68" t="s">
        <v>16</v>
      </c>
      <c r="AA17" s="17" t="s">
        <v>29</v>
      </c>
      <c r="AB17" s="68" t="s">
        <v>16</v>
      </c>
      <c r="AC17" s="25" t="s">
        <v>29</v>
      </c>
      <c r="AD17" s="68" t="s">
        <v>16</v>
      </c>
      <c r="AE17" s="17" t="s">
        <v>29</v>
      </c>
      <c r="AF17" s="68" t="s">
        <v>16</v>
      </c>
      <c r="AG17" s="25" t="s">
        <v>29</v>
      </c>
      <c r="AH17" s="68" t="s">
        <v>16</v>
      </c>
      <c r="AI17" s="17" t="s">
        <v>29</v>
      </c>
      <c r="AJ17" s="25" t="s">
        <v>29</v>
      </c>
      <c r="AK17" s="25" t="s">
        <v>16</v>
      </c>
      <c r="AL17" s="25" t="s">
        <v>16</v>
      </c>
      <c r="AM17" s="17" t="s">
        <v>16</v>
      </c>
      <c r="AN17" s="25" t="s">
        <v>16</v>
      </c>
      <c r="AO17" s="25" t="s">
        <v>12</v>
      </c>
      <c r="AP17" s="17" t="s">
        <v>12</v>
      </c>
      <c r="AQ17" s="14" t="s">
        <v>12</v>
      </c>
      <c r="AR17" s="24" t="s">
        <v>12</v>
      </c>
      <c r="AS17" s="14" t="s">
        <v>12</v>
      </c>
      <c r="AT17" s="14" t="s">
        <v>12</v>
      </c>
      <c r="AU17" s="14" t="s">
        <v>12</v>
      </c>
      <c r="AV17" s="22" t="s">
        <v>53</v>
      </c>
      <c r="AW17" s="85" t="s">
        <v>54</v>
      </c>
      <c r="AX17" s="22" t="s">
        <v>53</v>
      </c>
      <c r="AY17" s="85" t="s">
        <v>54</v>
      </c>
      <c r="AZ17" s="95" t="s">
        <v>53</v>
      </c>
      <c r="BA17" s="61" t="s">
        <v>54</v>
      </c>
    </row>
    <row r="18" spans="1:53">
      <c r="A18" s="54">
        <v>90</v>
      </c>
      <c r="B18" s="54">
        <v>90</v>
      </c>
      <c r="C18" s="10">
        <v>10</v>
      </c>
      <c r="D18" s="18">
        <f t="shared" ref="D18:D22" si="0">(C18/0.0001)*(PI()*(B18/1000)^2/4)/1000</f>
        <v>0.63617251235193306</v>
      </c>
      <c r="E18" s="71">
        <v>3</v>
      </c>
      <c r="F18" s="55">
        <f t="shared" ref="F18:F22" si="1">+E18*(A18/1000)</f>
        <v>0.27</v>
      </c>
      <c r="G18" s="71">
        <f>+E18/2</f>
        <v>1.5</v>
      </c>
      <c r="H18" s="55">
        <f t="shared" ref="H18:H22" si="2">+G18*(B18/1000)</f>
        <v>0.13500000000000001</v>
      </c>
      <c r="I18" s="71">
        <v>3</v>
      </c>
      <c r="J18" s="55">
        <f t="shared" ref="J18:J22" si="3">+I18*(A18/1000)</f>
        <v>0.27</v>
      </c>
      <c r="K18" s="71">
        <f>+I18/2</f>
        <v>1.5</v>
      </c>
      <c r="L18" s="55">
        <f t="shared" ref="L18:L22" si="4">+K18*(A18/1000)</f>
        <v>0.13500000000000001</v>
      </c>
      <c r="M18" s="27">
        <f t="shared" ref="M18:M22" si="5">+(F18*J18)+(H18*L18)</f>
        <v>9.1125000000000012E-2</v>
      </c>
      <c r="N18" s="86">
        <v>0.5</v>
      </c>
      <c r="O18" s="27">
        <f t="shared" ref="O18:O22" si="6">+(F18+J18+L18)*2*N18</f>
        <v>0.67500000000000004</v>
      </c>
      <c r="P18" s="18">
        <f t="shared" ref="P18:P22" si="7">+M18*N18</f>
        <v>4.5562500000000006E-2</v>
      </c>
      <c r="Q18" s="48">
        <f t="shared" ref="Q18:Q22" si="8">+(PI()*(A18/1000)^2/4)*H18+(PI()*(B18/1000)^2/4)*L18</f>
        <v>1.7176657833502193E-3</v>
      </c>
      <c r="R18" s="55">
        <f t="shared" ref="R18:R22" si="9">+P18-Q18</f>
        <v>4.3844834216649788E-2</v>
      </c>
      <c r="S18" s="56">
        <f t="shared" ref="S18:S23" si="10">+R18*$D$2</f>
        <v>0.10522760211995949</v>
      </c>
      <c r="T18" s="55">
        <f t="shared" ref="T18:T22" si="11">+N18</f>
        <v>0.5</v>
      </c>
      <c r="U18" s="27">
        <f t="shared" ref="U18:U22" si="12">+ROUND((F18-2*($I$2/1000))/($I$4/1000),0)+1</f>
        <v>2</v>
      </c>
      <c r="V18" s="27">
        <f t="shared" ref="V18:V22" si="13">+F18</f>
        <v>0.27</v>
      </c>
      <c r="W18" s="18">
        <f t="shared" ref="W18:W22" si="14">+ROUND((N18-2*($I$2/1000))/($I$4/1000),0)+1</f>
        <v>2</v>
      </c>
      <c r="X18" s="55">
        <f t="shared" ref="X18:X22" si="15">+N18</f>
        <v>0.5</v>
      </c>
      <c r="Y18" s="27">
        <f t="shared" ref="Y18:Y22" si="16">+ROUND(((J18+L18)-2*($I$2/1000))/($I$4/1000),0)+1</f>
        <v>2</v>
      </c>
      <c r="Z18" s="27">
        <f t="shared" ref="Z18:Z22" si="17">+J18+L18</f>
        <v>0.40500000000000003</v>
      </c>
      <c r="AA18" s="18">
        <f t="shared" ref="AA18:AA22" si="18">+ROUND((N18-2*($I$2/1000))/($I$4/1000),0)+1</f>
        <v>2</v>
      </c>
      <c r="AB18" s="55">
        <f t="shared" ref="AB18:AB22" si="19">+J18</f>
        <v>0.27</v>
      </c>
      <c r="AC18" s="27">
        <f t="shared" ref="AC18:AC22" si="20">+ROUND((F18-2*($I$2/1000))/($I$4/1000),0)+1</f>
        <v>2</v>
      </c>
      <c r="AD18" s="27">
        <f t="shared" ref="AD18:AD22" si="21">+F18</f>
        <v>0.27</v>
      </c>
      <c r="AE18" s="18">
        <f t="shared" ref="AE18:AE22" si="22">+ROUND((J18-2*($I$2/1000))/($I$4/1000),0)+1</f>
        <v>2</v>
      </c>
      <c r="AF18" s="55">
        <f t="shared" ref="AF18:AF22" si="23">+L18</f>
        <v>0.13500000000000001</v>
      </c>
      <c r="AG18" s="27">
        <f t="shared" ref="AG18:AG22" si="24">+ROUND((H18-2*($I$2/1000))/($I$4/1000),0)+1</f>
        <v>1</v>
      </c>
      <c r="AH18" s="27">
        <f t="shared" ref="AH18:AH22" si="25">+H18</f>
        <v>0.13500000000000001</v>
      </c>
      <c r="AI18" s="18">
        <f t="shared" ref="AI18:AI22" si="26">+ROUND((L18-2*($I$2/1000))/($I$4/1000),0)+1</f>
        <v>1</v>
      </c>
      <c r="AJ18" s="27">
        <v>3</v>
      </c>
      <c r="AK18" s="27">
        <v>0.15</v>
      </c>
      <c r="AL18" s="27">
        <v>0.15</v>
      </c>
      <c r="AM18" s="18">
        <v>0.01</v>
      </c>
      <c r="AN18" s="27">
        <f t="shared" ref="AN18:AN22" si="27">+(T18*U18+V18*W18)*2+(X18*Y18+Z18*AA18)*2+(AB18*AC18+AD18*AE18)*2+(AF18*AG18+AH18*AI18)*2</f>
        <v>9.3999999999999986</v>
      </c>
      <c r="AO18" s="27">
        <f t="shared" ref="AO18:AO23" si="28">+AN18*$I$5/1000</f>
        <v>8.3471999999999991E-3</v>
      </c>
      <c r="AP18" s="18">
        <f>+AJ18*AK18*AL18*AM18*$D$3</f>
        <v>5.2987499999999988E-3</v>
      </c>
      <c r="AQ18" s="11">
        <f t="shared" ref="AQ18:AQ22" si="29">+S18+AO18+AP18</f>
        <v>0.11887355211995949</v>
      </c>
      <c r="AR18" s="26">
        <f t="shared" ref="AR18:AR23" si="30">+AQ18</f>
        <v>0.11887355211995949</v>
      </c>
      <c r="AS18" s="11">
        <f t="shared" ref="AS18:AS22" si="31">+M18*($D$9-(N18/2-A18/2000)*$D$4)</f>
        <v>5.7499875000000006E-2</v>
      </c>
      <c r="AT18" s="11">
        <f t="shared" ref="AT18:AT22" si="32">+$D$5*(AR18+AS18)</f>
        <v>0.10053285345837691</v>
      </c>
      <c r="AU18" s="11">
        <f t="shared" ref="AU18:AU22" si="33">+(F18*N18)*$D$6</f>
        <v>1.35</v>
      </c>
      <c r="AV18" s="26">
        <f t="shared" ref="AV18:AV22" si="34">+(AT18+AU18)/D18</f>
        <v>2.2800935678527661</v>
      </c>
      <c r="AW18" s="18" t="str">
        <f t="shared" ref="AW18:AW23" si="35">+IF(AV18&gt;$M$2,"CUMPLE",IF(AV18=$M$2,"CUMPLE","NO CUMPLE"))</f>
        <v>CUMPLE</v>
      </c>
      <c r="AX18" s="26">
        <f t="shared" ref="AX18:AX22" si="36">+(AR18*(J18+L18)/2+AS18*(J18+L18)/2+AU18*N18/2)/(D18*N18/2)</f>
        <v>2.3466315299415359</v>
      </c>
      <c r="AY18" s="18" t="str">
        <f t="shared" ref="AY18:AY23" si="37">+IF(AX18&gt;$M$3,"CUMPLE",IF(AX18=$M$3,"CUMPLE","NO CUMPLE"))</f>
        <v>CUMPLE</v>
      </c>
      <c r="AZ18" s="92">
        <f>+$D$7/((AR18+AS18)/M18)</f>
        <v>10.333189243754026</v>
      </c>
      <c r="BA18" s="56" t="str">
        <f t="shared" ref="BA18:BA23" si="38">+IF(AZ18&gt;$M$4,"CUMPLE",IF(AZ18=$M$4,"CUMPLE","NO CUMPLE"))</f>
        <v>CUMPLE</v>
      </c>
    </row>
    <row r="19" spans="1:53">
      <c r="A19" s="54">
        <v>110</v>
      </c>
      <c r="B19" s="54">
        <v>110</v>
      </c>
      <c r="C19" s="10">
        <v>10</v>
      </c>
      <c r="D19" s="18">
        <f t="shared" si="0"/>
        <v>0.95033177771091248</v>
      </c>
      <c r="E19" s="71">
        <v>4</v>
      </c>
      <c r="F19" s="55">
        <f t="shared" si="1"/>
        <v>0.44</v>
      </c>
      <c r="G19" s="117">
        <f t="shared" ref="G19:G23" si="39">+E19/2</f>
        <v>2</v>
      </c>
      <c r="H19" s="55">
        <f t="shared" si="2"/>
        <v>0.22</v>
      </c>
      <c r="I19" s="71">
        <v>3</v>
      </c>
      <c r="J19" s="55">
        <f t="shared" si="3"/>
        <v>0.33</v>
      </c>
      <c r="K19" s="117">
        <f t="shared" ref="K19:K23" si="40">+I19/2</f>
        <v>1.5</v>
      </c>
      <c r="L19" s="55">
        <f t="shared" si="4"/>
        <v>0.16500000000000001</v>
      </c>
      <c r="M19" s="27">
        <f t="shared" si="5"/>
        <v>0.18149999999999999</v>
      </c>
      <c r="N19" s="86">
        <v>0.5</v>
      </c>
      <c r="O19" s="27">
        <f t="shared" si="6"/>
        <v>0.93500000000000005</v>
      </c>
      <c r="P19" s="18">
        <f t="shared" si="7"/>
        <v>9.0749999999999997E-2</v>
      </c>
      <c r="Q19" s="48">
        <f t="shared" si="8"/>
        <v>3.6587773441870129E-3</v>
      </c>
      <c r="R19" s="55">
        <f t="shared" si="9"/>
        <v>8.7091222655812983E-2</v>
      </c>
      <c r="S19" s="56">
        <f t="shared" si="10"/>
        <v>0.20901893437395117</v>
      </c>
      <c r="T19" s="55">
        <f t="shared" si="11"/>
        <v>0.5</v>
      </c>
      <c r="U19" s="27">
        <f t="shared" si="12"/>
        <v>2</v>
      </c>
      <c r="V19" s="27">
        <f t="shared" si="13"/>
        <v>0.44</v>
      </c>
      <c r="W19" s="18">
        <f t="shared" si="14"/>
        <v>2</v>
      </c>
      <c r="X19" s="55">
        <f t="shared" si="15"/>
        <v>0.5</v>
      </c>
      <c r="Y19" s="27">
        <f t="shared" si="16"/>
        <v>2</v>
      </c>
      <c r="Z19" s="27">
        <f t="shared" si="17"/>
        <v>0.495</v>
      </c>
      <c r="AA19" s="18">
        <f t="shared" si="18"/>
        <v>2</v>
      </c>
      <c r="AB19" s="55">
        <f t="shared" si="19"/>
        <v>0.33</v>
      </c>
      <c r="AC19" s="27">
        <f t="shared" si="20"/>
        <v>2</v>
      </c>
      <c r="AD19" s="27">
        <f t="shared" si="21"/>
        <v>0.44</v>
      </c>
      <c r="AE19" s="18">
        <f t="shared" si="22"/>
        <v>2</v>
      </c>
      <c r="AF19" s="55">
        <f t="shared" si="23"/>
        <v>0.16500000000000001</v>
      </c>
      <c r="AG19" s="27">
        <f t="shared" si="24"/>
        <v>1</v>
      </c>
      <c r="AH19" s="27">
        <f t="shared" si="25"/>
        <v>0.22</v>
      </c>
      <c r="AI19" s="18">
        <f t="shared" si="26"/>
        <v>1</v>
      </c>
      <c r="AJ19" s="27">
        <v>3</v>
      </c>
      <c r="AK19" s="27">
        <v>0.15</v>
      </c>
      <c r="AL19" s="27">
        <v>0.15</v>
      </c>
      <c r="AM19" s="18">
        <v>0.01</v>
      </c>
      <c r="AN19" s="27">
        <f t="shared" si="27"/>
        <v>11.59</v>
      </c>
      <c r="AO19" s="27">
        <f t="shared" si="28"/>
        <v>1.029192E-2</v>
      </c>
      <c r="AP19" s="18">
        <f t="shared" ref="AP19:AP23" si="41">+AJ19*AK19*AL19*AM19*$D$3</f>
        <v>5.2987499999999988E-3</v>
      </c>
      <c r="AQ19" s="11">
        <f t="shared" si="29"/>
        <v>0.22460960437395117</v>
      </c>
      <c r="AR19" s="26">
        <f t="shared" si="30"/>
        <v>0.22460960437395117</v>
      </c>
      <c r="AS19" s="11">
        <f t="shared" si="31"/>
        <v>0.1177935</v>
      </c>
      <c r="AT19" s="11">
        <f t="shared" si="32"/>
        <v>0.19516976949315215</v>
      </c>
      <c r="AU19" s="11">
        <f t="shared" si="33"/>
        <v>2.2000000000000002</v>
      </c>
      <c r="AV19" s="26">
        <f t="shared" si="34"/>
        <v>2.5203511296470129</v>
      </c>
      <c r="AW19" s="18" t="str">
        <f t="shared" si="35"/>
        <v>CUMPLE</v>
      </c>
      <c r="AX19" s="26">
        <f t="shared" si="36"/>
        <v>2.6716764953876564</v>
      </c>
      <c r="AY19" s="18" t="str">
        <f t="shared" si="37"/>
        <v>CUMPLE</v>
      </c>
      <c r="AZ19" s="92">
        <f t="shared" ref="AZ19:AZ23" si="42">+$D$7/((AR19+AS19)/M19)</f>
        <v>10.601539395027043</v>
      </c>
      <c r="BA19" s="56" t="str">
        <f t="shared" si="38"/>
        <v>CUMPLE</v>
      </c>
    </row>
    <row r="20" spans="1:53">
      <c r="A20" s="54">
        <v>125</v>
      </c>
      <c r="B20" s="54">
        <v>125</v>
      </c>
      <c r="C20" s="10">
        <v>10</v>
      </c>
      <c r="D20" s="18">
        <f t="shared" si="0"/>
        <v>1.2271846303085128</v>
      </c>
      <c r="E20" s="71">
        <v>4</v>
      </c>
      <c r="F20" s="55">
        <f t="shared" si="1"/>
        <v>0.5</v>
      </c>
      <c r="G20" s="117">
        <f t="shared" si="39"/>
        <v>2</v>
      </c>
      <c r="H20" s="55">
        <f t="shared" si="2"/>
        <v>0.25</v>
      </c>
      <c r="I20" s="71">
        <v>3</v>
      </c>
      <c r="J20" s="55">
        <f t="shared" si="3"/>
        <v>0.375</v>
      </c>
      <c r="K20" s="117">
        <f t="shared" si="40"/>
        <v>1.5</v>
      </c>
      <c r="L20" s="55">
        <f t="shared" si="4"/>
        <v>0.1875</v>
      </c>
      <c r="M20" s="27">
        <f t="shared" si="5"/>
        <v>0.234375</v>
      </c>
      <c r="N20" s="86">
        <v>0.5</v>
      </c>
      <c r="O20" s="27">
        <f t="shared" si="6"/>
        <v>1.0625</v>
      </c>
      <c r="P20" s="18">
        <f t="shared" si="7"/>
        <v>0.1171875</v>
      </c>
      <c r="Q20" s="48">
        <f t="shared" si="8"/>
        <v>5.3689327575997441E-3</v>
      </c>
      <c r="R20" s="55">
        <f t="shared" si="9"/>
        <v>0.11181856724240026</v>
      </c>
      <c r="S20" s="56">
        <f t="shared" si="10"/>
        <v>0.26836456138176062</v>
      </c>
      <c r="T20" s="55">
        <f t="shared" si="11"/>
        <v>0.5</v>
      </c>
      <c r="U20" s="27">
        <f t="shared" si="12"/>
        <v>2</v>
      </c>
      <c r="V20" s="27">
        <f t="shared" si="13"/>
        <v>0.5</v>
      </c>
      <c r="W20" s="18">
        <f t="shared" si="14"/>
        <v>2</v>
      </c>
      <c r="X20" s="55">
        <f t="shared" si="15"/>
        <v>0.5</v>
      </c>
      <c r="Y20" s="27">
        <f t="shared" si="16"/>
        <v>3</v>
      </c>
      <c r="Z20" s="27">
        <f t="shared" si="17"/>
        <v>0.5625</v>
      </c>
      <c r="AA20" s="18">
        <f t="shared" si="18"/>
        <v>2</v>
      </c>
      <c r="AB20" s="55">
        <f t="shared" si="19"/>
        <v>0.375</v>
      </c>
      <c r="AC20" s="27">
        <f t="shared" si="20"/>
        <v>2</v>
      </c>
      <c r="AD20" s="27">
        <f t="shared" si="21"/>
        <v>0.5</v>
      </c>
      <c r="AE20" s="18">
        <f t="shared" si="22"/>
        <v>2</v>
      </c>
      <c r="AF20" s="55">
        <f t="shared" si="23"/>
        <v>0.1875</v>
      </c>
      <c r="AG20" s="27">
        <f t="shared" si="24"/>
        <v>1</v>
      </c>
      <c r="AH20" s="27">
        <f t="shared" si="25"/>
        <v>0.25</v>
      </c>
      <c r="AI20" s="18">
        <f t="shared" si="26"/>
        <v>1</v>
      </c>
      <c r="AJ20" s="27">
        <v>3</v>
      </c>
      <c r="AK20" s="27">
        <v>0.15</v>
      </c>
      <c r="AL20" s="27">
        <v>0.15</v>
      </c>
      <c r="AM20" s="18">
        <v>0.01</v>
      </c>
      <c r="AN20" s="27">
        <f t="shared" si="27"/>
        <v>13.625</v>
      </c>
      <c r="AO20" s="27">
        <f t="shared" si="28"/>
        <v>1.2099E-2</v>
      </c>
      <c r="AP20" s="18">
        <f t="shared" si="41"/>
        <v>5.2987499999999988E-3</v>
      </c>
      <c r="AQ20" s="11">
        <f t="shared" si="29"/>
        <v>0.28576231138176067</v>
      </c>
      <c r="AR20" s="26">
        <f t="shared" si="30"/>
        <v>0.28576231138176067</v>
      </c>
      <c r="AS20" s="11">
        <f t="shared" si="31"/>
        <v>0.1552734375</v>
      </c>
      <c r="AT20" s="11">
        <f t="shared" si="32"/>
        <v>0.25139037686260357</v>
      </c>
      <c r="AU20" s="11">
        <f t="shared" si="33"/>
        <v>2.5</v>
      </c>
      <c r="AV20" s="26">
        <f t="shared" si="34"/>
        <v>2.24203457972816</v>
      </c>
      <c r="AW20" s="18" t="str">
        <f t="shared" si="35"/>
        <v>CUMPLE</v>
      </c>
      <c r="AX20" s="26">
        <f t="shared" si="36"/>
        <v>2.4414950639813249</v>
      </c>
      <c r="AY20" s="18" t="str">
        <f t="shared" si="37"/>
        <v>CUMPLE</v>
      </c>
      <c r="AZ20" s="92">
        <f t="shared" si="42"/>
        <v>10.62839012911104</v>
      </c>
      <c r="BA20" s="56" t="str">
        <f t="shared" si="38"/>
        <v>CUMPLE</v>
      </c>
    </row>
    <row r="21" spans="1:53">
      <c r="A21" s="54">
        <v>140</v>
      </c>
      <c r="B21" s="54">
        <v>140</v>
      </c>
      <c r="C21" s="10">
        <v>10</v>
      </c>
      <c r="D21" s="18">
        <f>(C21/0.0001)*(PI()*(B21/1000)^2/4)/1000</f>
        <v>1.5393804002589988</v>
      </c>
      <c r="E21" s="71">
        <v>4</v>
      </c>
      <c r="F21" s="55">
        <f>+E21*(A21/1000)</f>
        <v>0.56000000000000005</v>
      </c>
      <c r="G21" s="117">
        <f t="shared" si="39"/>
        <v>2</v>
      </c>
      <c r="H21" s="55">
        <f>+G21*(B21/1000)</f>
        <v>0.28000000000000003</v>
      </c>
      <c r="I21" s="71">
        <v>3</v>
      </c>
      <c r="J21" s="55">
        <f>+I21*(A21/1000)</f>
        <v>0.42000000000000004</v>
      </c>
      <c r="K21" s="117">
        <f t="shared" si="40"/>
        <v>1.5</v>
      </c>
      <c r="L21" s="55">
        <f>+K21*(A21/1000)</f>
        <v>0.21000000000000002</v>
      </c>
      <c r="M21" s="27">
        <f>+(F21*J21)+(H21*L21)</f>
        <v>0.29400000000000004</v>
      </c>
      <c r="N21" s="86">
        <v>0.6</v>
      </c>
      <c r="O21" s="27">
        <f>+(F21+J21+L21)*2*N21</f>
        <v>1.4280000000000002</v>
      </c>
      <c r="P21" s="18">
        <f>+M21*N21</f>
        <v>0.17640000000000003</v>
      </c>
      <c r="Q21" s="48">
        <f>+(PI()*(A21/1000)^2/4)*H21+(PI()*(B21/1000)^2/4)*L21</f>
        <v>7.5429639612690953E-3</v>
      </c>
      <c r="R21" s="55">
        <f>+P21-Q21</f>
        <v>0.16885703603873092</v>
      </c>
      <c r="S21" s="56">
        <f>+R21*$D$2</f>
        <v>0.40525688649295422</v>
      </c>
      <c r="T21" s="55">
        <f>+N21</f>
        <v>0.6</v>
      </c>
      <c r="U21" s="27">
        <f>+ROUND((F21-2*($I$2/1000))/($I$4/1000),0)+1</f>
        <v>3</v>
      </c>
      <c r="V21" s="27">
        <f>+F21</f>
        <v>0.56000000000000005</v>
      </c>
      <c r="W21" s="18">
        <f>+ROUND((N21-2*($I$2/1000))/($I$4/1000),0)+1</f>
        <v>3</v>
      </c>
      <c r="X21" s="55">
        <f>+N21</f>
        <v>0.6</v>
      </c>
      <c r="Y21" s="27">
        <f>+ROUND(((J21+L21)-2*($I$2/1000))/($I$4/1000),0)+1</f>
        <v>3</v>
      </c>
      <c r="Z21" s="27">
        <f>+J21+L21</f>
        <v>0.63000000000000012</v>
      </c>
      <c r="AA21" s="18">
        <f>+ROUND((N21-2*($I$2/1000))/($I$4/1000),0)+1</f>
        <v>3</v>
      </c>
      <c r="AB21" s="55">
        <f>+J21</f>
        <v>0.42000000000000004</v>
      </c>
      <c r="AC21" s="27">
        <f>+ROUND((F21-2*($I$2/1000))/($I$4/1000),0)+1</f>
        <v>3</v>
      </c>
      <c r="AD21" s="27">
        <f>+F21</f>
        <v>0.56000000000000005</v>
      </c>
      <c r="AE21" s="18">
        <f>+ROUND((J21-2*($I$2/1000))/($I$4/1000),0)+1</f>
        <v>2</v>
      </c>
      <c r="AF21" s="55">
        <f>+L21</f>
        <v>0.21000000000000002</v>
      </c>
      <c r="AG21" s="27">
        <f>+ROUND((H21-2*($I$2/1000))/($I$4/1000),0)+1</f>
        <v>2</v>
      </c>
      <c r="AH21" s="27">
        <f>+H21</f>
        <v>0.28000000000000003</v>
      </c>
      <c r="AI21" s="18">
        <f>+ROUND((L21-2*($I$2/1000))/($I$4/1000),0)+1</f>
        <v>1</v>
      </c>
      <c r="AJ21" s="27">
        <v>3</v>
      </c>
      <c r="AK21" s="27">
        <v>0.15</v>
      </c>
      <c r="AL21" s="27">
        <v>0.15</v>
      </c>
      <c r="AM21" s="18">
        <v>0.01</v>
      </c>
      <c r="AN21" s="27">
        <f>+(T21*U21+V21*W21)*2+(X21*Y21+Z21*AA21)*2+(AB21*AC21+AD21*AE21)*2+(AF21*AG21+AH21*AI21)*2</f>
        <v>20.5</v>
      </c>
      <c r="AO21" s="27">
        <f>+AN21*$I$5/1000</f>
        <v>1.8204000000000001E-2</v>
      </c>
      <c r="AP21" s="18">
        <f t="shared" si="41"/>
        <v>5.2987499999999988E-3</v>
      </c>
      <c r="AQ21" s="11">
        <f>+S21+AO21+AP21</f>
        <v>0.42875963649295423</v>
      </c>
      <c r="AR21" s="26">
        <f>+AQ21</f>
        <v>0.42875963649295423</v>
      </c>
      <c r="AS21" s="11">
        <f>+M21*($D$9-(N21/2-A21/2000)*$D$4)</f>
        <v>0.17228400000000005</v>
      </c>
      <c r="AT21" s="11">
        <f>+$D$5*(AR21+AS21)</f>
        <v>0.34259487280098394</v>
      </c>
      <c r="AU21" s="11">
        <f>+(F21*N21)*$D$6</f>
        <v>3.3600000000000003</v>
      </c>
      <c r="AV21" s="26">
        <f>+(AT21+AU21)/D21</f>
        <v>2.4052501072366694</v>
      </c>
      <c r="AW21" s="18" t="str">
        <f>+IF(AV21&gt;$M$2,"CUMPLE",IF(AV21=$M$2,"CUMPLE","NO CUMPLE"))</f>
        <v>CUMPLE</v>
      </c>
      <c r="AX21" s="26">
        <f>+(AR21*(J21+L21)/2+AS21*(J21+L21)/2+AU21*N21/2)/(D21*N21/2)</f>
        <v>2.592663787096487</v>
      </c>
      <c r="AY21" s="18" t="str">
        <f>+IF(AX21&gt;$M$3,"CUMPLE",IF(AX21=$M$3,"CUMPLE","NO CUMPLE"))</f>
        <v>CUMPLE</v>
      </c>
      <c r="AZ21" s="92">
        <f t="shared" si="42"/>
        <v>9.782983535620426</v>
      </c>
      <c r="BA21" s="56" t="str">
        <f>+IF(AZ21&gt;$M$4,"CUMPLE",IF(AZ21=$M$4,"CUMPLE","NO CUMPLE"))</f>
        <v>CUMPLE</v>
      </c>
    </row>
    <row r="22" spans="1:53">
      <c r="A22" s="54">
        <v>160</v>
      </c>
      <c r="B22" s="54">
        <v>160</v>
      </c>
      <c r="C22" s="10">
        <v>10</v>
      </c>
      <c r="D22" s="18">
        <f t="shared" si="0"/>
        <v>2.0106192982974678</v>
      </c>
      <c r="E22" s="71">
        <v>4</v>
      </c>
      <c r="F22" s="55">
        <f t="shared" si="1"/>
        <v>0.64</v>
      </c>
      <c r="G22" s="117">
        <f t="shared" si="39"/>
        <v>2</v>
      </c>
      <c r="H22" s="55">
        <f t="shared" si="2"/>
        <v>0.32</v>
      </c>
      <c r="I22" s="71">
        <v>3</v>
      </c>
      <c r="J22" s="55">
        <f t="shared" si="3"/>
        <v>0.48</v>
      </c>
      <c r="K22" s="117">
        <f t="shared" si="40"/>
        <v>1.5</v>
      </c>
      <c r="L22" s="55">
        <f t="shared" si="4"/>
        <v>0.24</v>
      </c>
      <c r="M22" s="27">
        <f t="shared" si="5"/>
        <v>0.38399999999999995</v>
      </c>
      <c r="N22" s="86">
        <v>0.6</v>
      </c>
      <c r="O22" s="27">
        <f t="shared" si="6"/>
        <v>1.6320000000000001</v>
      </c>
      <c r="P22" s="18">
        <f t="shared" si="7"/>
        <v>0.23039999999999997</v>
      </c>
      <c r="Q22" s="48">
        <f t="shared" si="8"/>
        <v>1.1259468070465819E-2</v>
      </c>
      <c r="R22" s="55">
        <f t="shared" si="9"/>
        <v>0.21914053192953414</v>
      </c>
      <c r="S22" s="56">
        <f t="shared" si="10"/>
        <v>0.52593727663088197</v>
      </c>
      <c r="T22" s="55">
        <f t="shared" si="11"/>
        <v>0.6</v>
      </c>
      <c r="U22" s="27">
        <f t="shared" si="12"/>
        <v>3</v>
      </c>
      <c r="V22" s="27">
        <f t="shared" si="13"/>
        <v>0.64</v>
      </c>
      <c r="W22" s="18">
        <f t="shared" si="14"/>
        <v>3</v>
      </c>
      <c r="X22" s="55">
        <f t="shared" si="15"/>
        <v>0.6</v>
      </c>
      <c r="Y22" s="27">
        <f t="shared" si="16"/>
        <v>3</v>
      </c>
      <c r="Z22" s="27">
        <f t="shared" si="17"/>
        <v>0.72</v>
      </c>
      <c r="AA22" s="18">
        <f t="shared" si="18"/>
        <v>3</v>
      </c>
      <c r="AB22" s="55">
        <f t="shared" si="19"/>
        <v>0.48</v>
      </c>
      <c r="AC22" s="27">
        <f t="shared" si="20"/>
        <v>3</v>
      </c>
      <c r="AD22" s="27">
        <f t="shared" si="21"/>
        <v>0.64</v>
      </c>
      <c r="AE22" s="18">
        <f t="shared" si="22"/>
        <v>2</v>
      </c>
      <c r="AF22" s="55">
        <f t="shared" si="23"/>
        <v>0.24</v>
      </c>
      <c r="AG22" s="27">
        <f t="shared" si="24"/>
        <v>2</v>
      </c>
      <c r="AH22" s="27">
        <f t="shared" si="25"/>
        <v>0.32</v>
      </c>
      <c r="AI22" s="18">
        <f t="shared" si="26"/>
        <v>1</v>
      </c>
      <c r="AJ22" s="27">
        <v>3</v>
      </c>
      <c r="AK22" s="27">
        <v>0.15</v>
      </c>
      <c r="AL22" s="27">
        <v>0.15</v>
      </c>
      <c r="AM22" s="18">
        <v>0.01</v>
      </c>
      <c r="AN22" s="27">
        <f t="shared" si="27"/>
        <v>22.4</v>
      </c>
      <c r="AO22" s="27">
        <f t="shared" si="28"/>
        <v>1.9891199999999998E-2</v>
      </c>
      <c r="AP22" s="18">
        <f t="shared" si="41"/>
        <v>5.2987499999999988E-3</v>
      </c>
      <c r="AQ22" s="11">
        <f t="shared" si="29"/>
        <v>0.55112722663088198</v>
      </c>
      <c r="AR22" s="26">
        <f t="shared" si="30"/>
        <v>0.55112722663088198</v>
      </c>
      <c r="AS22" s="11">
        <f t="shared" si="31"/>
        <v>0.231936</v>
      </c>
      <c r="AT22" s="11">
        <f t="shared" si="32"/>
        <v>0.44634603917960269</v>
      </c>
      <c r="AU22" s="11">
        <f t="shared" si="33"/>
        <v>3.84</v>
      </c>
      <c r="AV22" s="26">
        <f t="shared" si="34"/>
        <v>2.1318536248056268</v>
      </c>
      <c r="AW22" s="18" t="str">
        <f t="shared" si="35"/>
        <v>CUMPLE</v>
      </c>
      <c r="AX22" s="26">
        <f t="shared" si="36"/>
        <v>2.3772157543719712</v>
      </c>
      <c r="AY22" s="18" t="str">
        <f t="shared" si="37"/>
        <v>CUMPLE</v>
      </c>
      <c r="AZ22" s="92">
        <f t="shared" si="42"/>
        <v>9.807637159828186</v>
      </c>
      <c r="BA22" s="56" t="str">
        <f t="shared" si="38"/>
        <v>CUMPLE</v>
      </c>
    </row>
    <row r="23" spans="1:53">
      <c r="A23" s="54">
        <v>200</v>
      </c>
      <c r="B23" s="54">
        <v>200</v>
      </c>
      <c r="C23" s="10">
        <v>10</v>
      </c>
      <c r="D23" s="18">
        <f t="shared" ref="D23" si="43">(C23/0.0001)*(PI()*(B23/1000)^2/4)/1000</f>
        <v>3.1415926535897936</v>
      </c>
      <c r="E23" s="71">
        <v>5</v>
      </c>
      <c r="F23" s="55">
        <f t="shared" ref="F23" si="44">+E23*(A23/1000)</f>
        <v>1</v>
      </c>
      <c r="G23" s="117">
        <f t="shared" si="39"/>
        <v>2.5</v>
      </c>
      <c r="H23" s="55">
        <f t="shared" ref="H23" si="45">+G23*(B23/1000)</f>
        <v>0.5</v>
      </c>
      <c r="I23" s="71">
        <v>3</v>
      </c>
      <c r="J23" s="55">
        <f t="shared" ref="J23" si="46">+I23*(A23/1000)</f>
        <v>0.60000000000000009</v>
      </c>
      <c r="K23" s="117">
        <f t="shared" si="40"/>
        <v>1.5</v>
      </c>
      <c r="L23" s="55">
        <f t="shared" ref="L23" si="47">+K23*(A23/1000)</f>
        <v>0.30000000000000004</v>
      </c>
      <c r="M23" s="27">
        <f t="shared" ref="M23" si="48">+(F23*J23)+(H23*L23)</f>
        <v>0.75000000000000011</v>
      </c>
      <c r="N23" s="86">
        <v>0.6</v>
      </c>
      <c r="O23" s="27">
        <f t="shared" ref="O23" si="49">+(F23+J23+L23)*2*N23</f>
        <v>2.2800000000000002</v>
      </c>
      <c r="P23" s="18">
        <f t="shared" ref="P23" si="50">+M23*N23</f>
        <v>0.45000000000000007</v>
      </c>
      <c r="Q23" s="48">
        <f t="shared" ref="Q23" si="51">+(PI()*(A23/1000)^2/4)*H23+(PI()*(B23/1000)^2/4)*L23</f>
        <v>2.513274122871835E-2</v>
      </c>
      <c r="R23" s="55">
        <f t="shared" ref="R23" si="52">+P23-Q23</f>
        <v>0.42486725877128173</v>
      </c>
      <c r="S23" s="56">
        <f t="shared" si="10"/>
        <v>1.0196814210510761</v>
      </c>
      <c r="T23" s="55">
        <f t="shared" ref="T23" si="53">+N23</f>
        <v>0.6</v>
      </c>
      <c r="U23" s="27">
        <f t="shared" ref="U23" si="54">+ROUND((F23-2*($I$2/1000))/($I$4/1000),0)+1</f>
        <v>4</v>
      </c>
      <c r="V23" s="27">
        <f t="shared" ref="V23" si="55">+F23</f>
        <v>1</v>
      </c>
      <c r="W23" s="18">
        <f t="shared" ref="W23" si="56">+ROUND((N23-2*($I$2/1000))/($I$4/1000),0)+1</f>
        <v>3</v>
      </c>
      <c r="X23" s="55">
        <f t="shared" ref="X23" si="57">+N23</f>
        <v>0.6</v>
      </c>
      <c r="Y23" s="27">
        <f t="shared" ref="Y23" si="58">+ROUND(((J23+L23)-2*($I$2/1000))/($I$4/1000),0)+1</f>
        <v>4</v>
      </c>
      <c r="Z23" s="27">
        <f t="shared" ref="Z23" si="59">+J23+L23</f>
        <v>0.90000000000000013</v>
      </c>
      <c r="AA23" s="18">
        <f t="shared" ref="AA23" si="60">+ROUND((N23-2*($I$2/1000))/($I$4/1000),0)+1</f>
        <v>3</v>
      </c>
      <c r="AB23" s="55">
        <f t="shared" ref="AB23" si="61">+J23</f>
        <v>0.60000000000000009</v>
      </c>
      <c r="AC23" s="27">
        <f t="shared" ref="AC23" si="62">+ROUND((F23-2*($I$2/1000))/($I$4/1000),0)+1</f>
        <v>4</v>
      </c>
      <c r="AD23" s="27">
        <f t="shared" ref="AD23" si="63">+F23</f>
        <v>1</v>
      </c>
      <c r="AE23" s="18">
        <f t="shared" ref="AE23" si="64">+ROUND((J23-2*($I$2/1000))/($I$4/1000),0)+1</f>
        <v>3</v>
      </c>
      <c r="AF23" s="55">
        <f t="shared" ref="AF23" si="65">+L23</f>
        <v>0.30000000000000004</v>
      </c>
      <c r="AG23" s="27">
        <f t="shared" ref="AG23" si="66">+ROUND((H23-2*($I$2/1000))/($I$4/1000),0)+1</f>
        <v>2</v>
      </c>
      <c r="AH23" s="27">
        <f t="shared" ref="AH23" si="67">+H23</f>
        <v>0.5</v>
      </c>
      <c r="AI23" s="18">
        <f t="shared" ref="AI23" si="68">+ROUND((L23-2*($I$2/1000))/($I$4/1000),0)+1</f>
        <v>2</v>
      </c>
      <c r="AJ23" s="27">
        <v>3</v>
      </c>
      <c r="AK23" s="27">
        <v>0.15</v>
      </c>
      <c r="AL23" s="27">
        <v>0.15</v>
      </c>
      <c r="AM23" s="18">
        <v>0.01</v>
      </c>
      <c r="AN23" s="27">
        <f t="shared" ref="AN23" si="69">+(T23*U23+V23*W23)*2+(X23*Y23+Z23*AA23)*2+(AB23*AC23+AD23*AE23)*2+(AF23*AG23+AH23*AI23)*2</f>
        <v>35</v>
      </c>
      <c r="AO23" s="27">
        <f t="shared" si="28"/>
        <v>3.1080000000000003E-2</v>
      </c>
      <c r="AP23" s="18">
        <f t="shared" si="41"/>
        <v>5.2987499999999988E-3</v>
      </c>
      <c r="AQ23" s="11">
        <f t="shared" ref="AQ23" si="70">+S23+AO23+AP23</f>
        <v>1.056060171051076</v>
      </c>
      <c r="AR23" s="26">
        <f t="shared" si="30"/>
        <v>1.056060171051076</v>
      </c>
      <c r="AS23" s="11">
        <f t="shared" ref="AS23" si="71">+M23*($D$9-(N23/2-A23/2000)*$D$4)</f>
        <v>0.48000000000000009</v>
      </c>
      <c r="AT23" s="11">
        <f t="shared" ref="AT23" si="72">+$D$5*(AR23+AS23)</f>
        <v>0.87555429749911318</v>
      </c>
      <c r="AU23" s="11">
        <f t="shared" ref="AU23" si="73">+(F23*N23)*$D$6</f>
        <v>6</v>
      </c>
      <c r="AV23" s="26">
        <f t="shared" ref="AV23" si="74">+(AT23+AU23)/D23</f>
        <v>2.1885569058874155</v>
      </c>
      <c r="AW23" s="18" t="str">
        <f t="shared" si="35"/>
        <v>CUMPLE</v>
      </c>
      <c r="AX23" s="26">
        <f t="shared" ref="AX23" si="75">+(AR23*(J23+L23)/2+AS23*(J23+L23)/2+AU23*N23/2)/(D23*N23/2)</f>
        <v>2.643274024430827</v>
      </c>
      <c r="AY23" s="18" t="str">
        <f t="shared" si="37"/>
        <v>CUMPLE</v>
      </c>
      <c r="AZ23" s="92">
        <f t="shared" si="42"/>
        <v>9.7652424577456429</v>
      </c>
      <c r="BA23" s="56" t="str">
        <f t="shared" si="38"/>
        <v>CUMPLE</v>
      </c>
    </row>
    <row r="24" spans="1:53">
      <c r="A24" s="54">
        <v>225</v>
      </c>
      <c r="B24" s="54">
        <v>225</v>
      </c>
      <c r="C24" s="10">
        <v>10</v>
      </c>
      <c r="D24" s="18">
        <f t="shared" ref="D24:D28" si="76">(C24/0.0001)*(PI()*(B24/1000)^2/4)/1000</f>
        <v>3.9760782021995822</v>
      </c>
      <c r="E24" s="117">
        <v>5</v>
      </c>
      <c r="F24" s="55">
        <f t="shared" ref="F24:F28" si="77">+E24*(A24/1000)</f>
        <v>1.125</v>
      </c>
      <c r="G24" s="117">
        <f t="shared" ref="G24:G28" si="78">+E24/2</f>
        <v>2.5</v>
      </c>
      <c r="H24" s="55">
        <f t="shared" ref="H24:H28" si="79">+G24*(B24/1000)</f>
        <v>0.5625</v>
      </c>
      <c r="I24" s="117">
        <v>3</v>
      </c>
      <c r="J24" s="55">
        <f t="shared" ref="J24:J28" si="80">+I24*(A24/1000)</f>
        <v>0.67500000000000004</v>
      </c>
      <c r="K24" s="117">
        <f t="shared" ref="K24:K28" si="81">+I24/2</f>
        <v>1.5</v>
      </c>
      <c r="L24" s="55">
        <f t="shared" ref="L24:L28" si="82">+K24*(A24/1000)</f>
        <v>0.33750000000000002</v>
      </c>
      <c r="M24" s="27">
        <f t="shared" ref="M24:M28" si="83">+(F24*J24)+(H24*L24)</f>
        <v>0.94921875</v>
      </c>
      <c r="N24" s="86">
        <v>0.6</v>
      </c>
      <c r="O24" s="27">
        <f t="shared" ref="O24:O28" si="84">+(F24+J24+L24)*2*N24</f>
        <v>2.5649999999999999</v>
      </c>
      <c r="P24" s="18">
        <f t="shared" ref="P24:P28" si="85">+M24*N24</f>
        <v>0.56953124999999993</v>
      </c>
      <c r="Q24" s="48">
        <f t="shared" ref="Q24:Q28" si="86">+(PI()*(A24/1000)^2/4)*H24+(PI()*(B24/1000)^2/4)*L24</f>
        <v>3.5784703819796246E-2</v>
      </c>
      <c r="R24" s="55">
        <f t="shared" ref="R24:R28" si="87">+P24-Q24</f>
        <v>0.53374654618020367</v>
      </c>
      <c r="S24" s="56">
        <f t="shared" ref="S24:S28" si="88">+R24*$D$2</f>
        <v>1.2809917108324889</v>
      </c>
      <c r="T24" s="55">
        <f t="shared" ref="T24:T28" si="89">+N24</f>
        <v>0.6</v>
      </c>
      <c r="U24" s="27">
        <f t="shared" ref="U24:U28" si="90">+ROUND((F24-2*($I$2/1000))/($I$4/1000),0)+1</f>
        <v>5</v>
      </c>
      <c r="V24" s="27">
        <f t="shared" ref="V24:V28" si="91">+F24</f>
        <v>1.125</v>
      </c>
      <c r="W24" s="18">
        <f t="shared" ref="W24:W28" si="92">+ROUND((N24-2*($I$2/1000))/($I$4/1000),0)+1</f>
        <v>3</v>
      </c>
      <c r="X24" s="55">
        <f t="shared" ref="X24:X28" si="93">+N24</f>
        <v>0.6</v>
      </c>
      <c r="Y24" s="27">
        <f t="shared" ref="Y24:Y28" si="94">+ROUND(((J24+L24)-2*($I$2/1000))/($I$4/1000),0)+1</f>
        <v>4</v>
      </c>
      <c r="Z24" s="27">
        <f t="shared" ref="Z24:Z28" si="95">+J24+L24</f>
        <v>1.0125000000000002</v>
      </c>
      <c r="AA24" s="18">
        <f t="shared" ref="AA24:AA28" si="96">+ROUND((N24-2*($I$2/1000))/($I$4/1000),0)+1</f>
        <v>3</v>
      </c>
      <c r="AB24" s="55">
        <f t="shared" ref="AB24:AB28" si="97">+J24</f>
        <v>0.67500000000000004</v>
      </c>
      <c r="AC24" s="27">
        <f t="shared" ref="AC24:AC28" si="98">+ROUND((F24-2*($I$2/1000))/($I$4/1000),0)+1</f>
        <v>5</v>
      </c>
      <c r="AD24" s="27">
        <f t="shared" ref="AD24:AD28" si="99">+F24</f>
        <v>1.125</v>
      </c>
      <c r="AE24" s="18">
        <f t="shared" ref="AE24:AE28" si="100">+ROUND((J24-2*($I$2/1000))/($I$4/1000),0)+1</f>
        <v>3</v>
      </c>
      <c r="AF24" s="55">
        <f t="shared" ref="AF24:AF28" si="101">+L24</f>
        <v>0.33750000000000002</v>
      </c>
      <c r="AG24" s="27">
        <f t="shared" ref="AG24:AG28" si="102">+ROUND((H24-2*($I$2/1000))/($I$4/1000),0)+1</f>
        <v>3</v>
      </c>
      <c r="AH24" s="27">
        <f t="shared" ref="AH24:AH28" si="103">+H24</f>
        <v>0.5625</v>
      </c>
      <c r="AI24" s="18">
        <f t="shared" ref="AI24:AI28" si="104">+ROUND((L24-2*($I$2/1000))/($I$4/1000),0)+1</f>
        <v>2</v>
      </c>
      <c r="AJ24" s="27">
        <v>3</v>
      </c>
      <c r="AK24" s="27">
        <v>0.15</v>
      </c>
      <c r="AL24" s="27">
        <v>0.15</v>
      </c>
      <c r="AM24" s="18">
        <v>0.01</v>
      </c>
      <c r="AN24" s="27">
        <f t="shared" ref="AN24:AN28" si="105">+(T24*U24+V24*W24)*2+(X24*Y24+Z24*AA24)*2+(AB24*AC24+AD24*AE24)*2+(AF24*AG24+AH24*AI24)*2</f>
        <v>41.4</v>
      </c>
      <c r="AO24" s="27">
        <f t="shared" ref="AO24:AO28" si="106">+AN24*$I$5/1000</f>
        <v>3.6763199999999996E-2</v>
      </c>
      <c r="AP24" s="18">
        <f t="shared" ref="AP24:AP28" si="107">+AJ24*AK24*AL24*AM24*$D$3</f>
        <v>5.2987499999999988E-3</v>
      </c>
      <c r="AQ24" s="11">
        <f t="shared" ref="AQ24:AQ28" si="108">+S24+AO24+AP24</f>
        <v>1.3230536608324888</v>
      </c>
      <c r="AR24" s="26">
        <f t="shared" ref="AR24:AR28" si="109">+AQ24</f>
        <v>1.3230536608324888</v>
      </c>
      <c r="AS24" s="11">
        <f t="shared" ref="AS24:AS28" si="110">+M24*($D$9-(N24/2-A24/2000)*$D$4)</f>
        <v>0.62885742187499993</v>
      </c>
      <c r="AT24" s="11">
        <f t="shared" ref="AT24:AT28" si="111">+$D$5*(AR24+AS24)</f>
        <v>1.1125893171432686</v>
      </c>
      <c r="AU24" s="11">
        <f t="shared" ref="AU24:AU28" si="112">+(F24*N24)*$D$6</f>
        <v>6.7499999999999991</v>
      </c>
      <c r="AV24" s="26">
        <f t="shared" ref="AV24:AV28" si="113">+(AT24+AU24)/D24</f>
        <v>1.9774735096491947</v>
      </c>
      <c r="AW24" s="18" t="str">
        <f t="shared" ref="AW24:AW28" si="114">+IF(AV24&gt;$M$2,"CUMPLE",IF(AV24=$M$2,"CUMPLE","NO CUMPLE"))</f>
        <v>CUMPLE</v>
      </c>
      <c r="AX24" s="26">
        <f t="shared" ref="AX24:AX28" si="115">+(AR24*(J24+L24)/2+AS24*(J24+L24)/2+AU24*N24/2)/(D24*N24/2)</f>
        <v>2.5260695190835505</v>
      </c>
      <c r="AY24" s="18" t="str">
        <f t="shared" ref="AY24:AY28" si="116">+IF(AX24&gt;$M$3,"CUMPLE",IF(AX24=$M$3,"CUMPLE","NO CUMPLE"))</f>
        <v>CUMPLE</v>
      </c>
      <c r="AZ24" s="92">
        <f t="shared" ref="AZ24:AZ28" si="117">+$D$7/((AR24+AS24)/M24)</f>
        <v>9.7260449864687697</v>
      </c>
      <c r="BA24" s="56" t="str">
        <f t="shared" ref="BA24:BA28" si="118">+IF(AZ24&gt;$M$4,"CUMPLE",IF(AZ24=$M$4,"CUMPLE","NO CUMPLE"))</f>
        <v>CUMPLE</v>
      </c>
    </row>
    <row r="25" spans="1:53">
      <c r="A25" s="54">
        <v>315</v>
      </c>
      <c r="B25" s="54">
        <v>315</v>
      </c>
      <c r="C25" s="10">
        <v>10</v>
      </c>
      <c r="D25" s="18">
        <f t="shared" si="76"/>
        <v>7.793113276311181</v>
      </c>
      <c r="E25" s="117">
        <v>5</v>
      </c>
      <c r="F25" s="55">
        <f t="shared" si="77"/>
        <v>1.575</v>
      </c>
      <c r="G25" s="117">
        <f t="shared" si="78"/>
        <v>2.5</v>
      </c>
      <c r="H25" s="55">
        <f t="shared" si="79"/>
        <v>0.78749999999999998</v>
      </c>
      <c r="I25" s="117">
        <v>3</v>
      </c>
      <c r="J25" s="55">
        <f t="shared" si="80"/>
        <v>0.94500000000000006</v>
      </c>
      <c r="K25" s="117">
        <f t="shared" si="81"/>
        <v>1.5</v>
      </c>
      <c r="L25" s="55">
        <f t="shared" si="82"/>
        <v>0.47250000000000003</v>
      </c>
      <c r="M25" s="27">
        <f t="shared" si="83"/>
        <v>1.8604687499999999</v>
      </c>
      <c r="N25" s="86">
        <v>0.7</v>
      </c>
      <c r="O25" s="27">
        <f t="shared" si="84"/>
        <v>4.1894999999999998</v>
      </c>
      <c r="P25" s="18">
        <f t="shared" si="85"/>
        <v>1.3023281249999998</v>
      </c>
      <c r="Q25" s="48">
        <f t="shared" si="86"/>
        <v>9.8193227281520884E-2</v>
      </c>
      <c r="R25" s="55">
        <f t="shared" si="87"/>
        <v>1.2041348977184789</v>
      </c>
      <c r="S25" s="56">
        <f t="shared" si="88"/>
        <v>2.8899237545243492</v>
      </c>
      <c r="T25" s="55">
        <f t="shared" si="89"/>
        <v>0.7</v>
      </c>
      <c r="U25" s="27">
        <f t="shared" si="90"/>
        <v>7</v>
      </c>
      <c r="V25" s="27">
        <f t="shared" si="91"/>
        <v>1.575</v>
      </c>
      <c r="W25" s="18">
        <f t="shared" si="92"/>
        <v>3</v>
      </c>
      <c r="X25" s="55">
        <f t="shared" si="93"/>
        <v>0.7</v>
      </c>
      <c r="Y25" s="27">
        <f t="shared" si="94"/>
        <v>6</v>
      </c>
      <c r="Z25" s="27">
        <f t="shared" si="95"/>
        <v>1.4175</v>
      </c>
      <c r="AA25" s="18">
        <f t="shared" si="96"/>
        <v>3</v>
      </c>
      <c r="AB25" s="55">
        <f t="shared" si="97"/>
        <v>0.94500000000000006</v>
      </c>
      <c r="AC25" s="27">
        <f t="shared" si="98"/>
        <v>7</v>
      </c>
      <c r="AD25" s="27">
        <f t="shared" si="99"/>
        <v>1.575</v>
      </c>
      <c r="AE25" s="18">
        <f t="shared" si="100"/>
        <v>4</v>
      </c>
      <c r="AF25" s="55">
        <f t="shared" si="101"/>
        <v>0.47250000000000003</v>
      </c>
      <c r="AG25" s="27">
        <f t="shared" si="102"/>
        <v>4</v>
      </c>
      <c r="AH25" s="27">
        <f t="shared" si="103"/>
        <v>0.78749999999999998</v>
      </c>
      <c r="AI25" s="18">
        <f t="shared" si="104"/>
        <v>2</v>
      </c>
      <c r="AJ25" s="27">
        <v>3</v>
      </c>
      <c r="AK25" s="27">
        <v>0.15</v>
      </c>
      <c r="AL25" s="27">
        <v>0.15</v>
      </c>
      <c r="AM25" s="18">
        <v>0.01</v>
      </c>
      <c r="AN25" s="27">
        <f t="shared" si="105"/>
        <v>68.914999999999992</v>
      </c>
      <c r="AO25" s="27">
        <f t="shared" si="106"/>
        <v>6.119651999999999E-2</v>
      </c>
      <c r="AP25" s="18">
        <f t="shared" si="107"/>
        <v>5.2987499999999988E-3</v>
      </c>
      <c r="AQ25" s="11">
        <f t="shared" si="108"/>
        <v>2.9564190245243496</v>
      </c>
      <c r="AR25" s="26">
        <f t="shared" si="109"/>
        <v>2.9564190245243496</v>
      </c>
      <c r="AS25" s="11">
        <f t="shared" si="110"/>
        <v>1.2158163281249998</v>
      </c>
      <c r="AT25" s="11">
        <f t="shared" si="111"/>
        <v>2.3781741510101289</v>
      </c>
      <c r="AU25" s="11">
        <f t="shared" si="112"/>
        <v>11.024999999999999</v>
      </c>
      <c r="AV25" s="26">
        <f t="shared" si="113"/>
        <v>1.7198741601449468</v>
      </c>
      <c r="AW25" s="18" t="str">
        <f t="shared" si="114"/>
        <v>CUMPLE</v>
      </c>
      <c r="AX25" s="26">
        <f t="shared" si="115"/>
        <v>2.4988442870848036</v>
      </c>
      <c r="AY25" s="18" t="str">
        <f t="shared" si="116"/>
        <v>CUMPLE</v>
      </c>
      <c r="AZ25" s="92">
        <f t="shared" si="117"/>
        <v>8.9183307879245657</v>
      </c>
      <c r="BA25" s="56" t="str">
        <f t="shared" si="118"/>
        <v>CUMPLE</v>
      </c>
    </row>
    <row r="26" spans="1:53">
      <c r="A26" s="166">
        <v>400</v>
      </c>
      <c r="B26" s="166">
        <v>400</v>
      </c>
      <c r="C26" s="10">
        <v>10</v>
      </c>
      <c r="D26" s="18">
        <f t="shared" si="76"/>
        <v>12.566370614359174</v>
      </c>
      <c r="E26" s="117">
        <v>5</v>
      </c>
      <c r="F26" s="55">
        <f t="shared" si="77"/>
        <v>2</v>
      </c>
      <c r="G26" s="117">
        <f t="shared" si="78"/>
        <v>2.5</v>
      </c>
      <c r="H26" s="55">
        <f t="shared" si="79"/>
        <v>1</v>
      </c>
      <c r="I26" s="117">
        <v>3</v>
      </c>
      <c r="J26" s="55">
        <f t="shared" si="80"/>
        <v>1.2000000000000002</v>
      </c>
      <c r="K26" s="117">
        <f t="shared" si="81"/>
        <v>1.5</v>
      </c>
      <c r="L26" s="55">
        <f t="shared" si="82"/>
        <v>0.60000000000000009</v>
      </c>
      <c r="M26" s="27">
        <f t="shared" si="83"/>
        <v>3.0000000000000004</v>
      </c>
      <c r="N26" s="86">
        <v>0.8</v>
      </c>
      <c r="O26" s="27">
        <f t="shared" si="84"/>
        <v>6.080000000000001</v>
      </c>
      <c r="P26" s="18">
        <f t="shared" si="85"/>
        <v>2.4000000000000004</v>
      </c>
      <c r="Q26" s="48">
        <f t="shared" si="86"/>
        <v>0.2010619298297468</v>
      </c>
      <c r="R26" s="55">
        <f t="shared" si="87"/>
        <v>2.1989380701702537</v>
      </c>
      <c r="S26" s="56">
        <f t="shared" si="88"/>
        <v>5.2774513684086086</v>
      </c>
      <c r="T26" s="55">
        <f t="shared" si="89"/>
        <v>0.8</v>
      </c>
      <c r="U26" s="27">
        <f t="shared" si="90"/>
        <v>8</v>
      </c>
      <c r="V26" s="27">
        <f t="shared" si="91"/>
        <v>2</v>
      </c>
      <c r="W26" s="18">
        <f t="shared" si="92"/>
        <v>4</v>
      </c>
      <c r="X26" s="55">
        <f t="shared" si="93"/>
        <v>0.8</v>
      </c>
      <c r="Y26" s="27">
        <f t="shared" si="94"/>
        <v>8</v>
      </c>
      <c r="Z26" s="27">
        <f t="shared" si="95"/>
        <v>1.8000000000000003</v>
      </c>
      <c r="AA26" s="18">
        <f t="shared" si="96"/>
        <v>4</v>
      </c>
      <c r="AB26" s="55">
        <f t="shared" si="97"/>
        <v>1.2000000000000002</v>
      </c>
      <c r="AC26" s="27">
        <f t="shared" si="98"/>
        <v>8</v>
      </c>
      <c r="AD26" s="27">
        <f t="shared" si="99"/>
        <v>2</v>
      </c>
      <c r="AE26" s="18">
        <f t="shared" si="100"/>
        <v>5</v>
      </c>
      <c r="AF26" s="55">
        <f t="shared" si="101"/>
        <v>0.60000000000000009</v>
      </c>
      <c r="AG26" s="27">
        <f t="shared" si="102"/>
        <v>4</v>
      </c>
      <c r="AH26" s="27">
        <f t="shared" si="103"/>
        <v>1</v>
      </c>
      <c r="AI26" s="18">
        <f t="shared" si="104"/>
        <v>3</v>
      </c>
      <c r="AJ26" s="27">
        <v>3</v>
      </c>
      <c r="AK26" s="27">
        <v>0.15</v>
      </c>
      <c r="AL26" s="27">
        <v>0.15</v>
      </c>
      <c r="AM26" s="18">
        <v>0.01</v>
      </c>
      <c r="AN26" s="27">
        <f t="shared" si="105"/>
        <v>106</v>
      </c>
      <c r="AO26" s="27">
        <f t="shared" si="106"/>
        <v>9.4128000000000003E-2</v>
      </c>
      <c r="AP26" s="18">
        <f t="shared" si="107"/>
        <v>5.2987499999999988E-3</v>
      </c>
      <c r="AQ26" s="11">
        <f t="shared" si="108"/>
        <v>5.3768781184086087</v>
      </c>
      <c r="AR26" s="26">
        <f t="shared" si="109"/>
        <v>5.3768781184086087</v>
      </c>
      <c r="AS26" s="11">
        <f t="shared" si="110"/>
        <v>1.92</v>
      </c>
      <c r="AT26" s="11">
        <f t="shared" si="111"/>
        <v>4.1592205274929066</v>
      </c>
      <c r="AU26" s="11">
        <f t="shared" si="112"/>
        <v>16</v>
      </c>
      <c r="AV26" s="26">
        <f t="shared" si="113"/>
        <v>1.6042197979150508</v>
      </c>
      <c r="AW26" s="18" t="str">
        <f t="shared" si="114"/>
        <v>CUMPLE</v>
      </c>
      <c r="AX26" s="26">
        <f t="shared" si="115"/>
        <v>2.5797405441294585</v>
      </c>
      <c r="AY26" s="18" t="str">
        <f t="shared" si="116"/>
        <v>CUMPLE</v>
      </c>
      <c r="AZ26" s="92">
        <f t="shared" si="117"/>
        <v>8.2226945587362401</v>
      </c>
      <c r="BA26" s="56" t="str">
        <f t="shared" si="118"/>
        <v>CUMPLE</v>
      </c>
    </row>
    <row r="27" spans="1:53">
      <c r="A27" s="166">
        <v>500</v>
      </c>
      <c r="B27" s="166">
        <v>500</v>
      </c>
      <c r="C27" s="10">
        <v>10</v>
      </c>
      <c r="D27" s="18">
        <f t="shared" si="76"/>
        <v>19.634954084936204</v>
      </c>
      <c r="E27" s="117">
        <v>5</v>
      </c>
      <c r="F27" s="55">
        <f t="shared" si="77"/>
        <v>2.5</v>
      </c>
      <c r="G27" s="117">
        <f t="shared" si="78"/>
        <v>2.5</v>
      </c>
      <c r="H27" s="55">
        <f t="shared" si="79"/>
        <v>1.25</v>
      </c>
      <c r="I27" s="117">
        <v>3</v>
      </c>
      <c r="J27" s="55">
        <f t="shared" si="80"/>
        <v>1.5</v>
      </c>
      <c r="K27" s="117">
        <f t="shared" si="81"/>
        <v>1.5</v>
      </c>
      <c r="L27" s="55">
        <f t="shared" si="82"/>
        <v>0.75</v>
      </c>
      <c r="M27" s="27">
        <f t="shared" si="83"/>
        <v>4.6875</v>
      </c>
      <c r="N27" s="86">
        <v>1</v>
      </c>
      <c r="O27" s="27">
        <f t="shared" si="84"/>
        <v>9.5</v>
      </c>
      <c r="P27" s="18">
        <f t="shared" si="85"/>
        <v>4.6875</v>
      </c>
      <c r="Q27" s="48">
        <f t="shared" si="86"/>
        <v>0.39269908169872414</v>
      </c>
      <c r="R27" s="55">
        <f t="shared" si="87"/>
        <v>4.2948009183012754</v>
      </c>
      <c r="S27" s="56">
        <f t="shared" si="88"/>
        <v>10.30752220392306</v>
      </c>
      <c r="T27" s="55">
        <f t="shared" si="89"/>
        <v>1</v>
      </c>
      <c r="U27" s="27">
        <f t="shared" si="90"/>
        <v>10</v>
      </c>
      <c r="V27" s="27">
        <f t="shared" si="91"/>
        <v>2.5</v>
      </c>
      <c r="W27" s="18">
        <f t="shared" si="92"/>
        <v>4</v>
      </c>
      <c r="X27" s="55">
        <f t="shared" si="93"/>
        <v>1</v>
      </c>
      <c r="Y27" s="27">
        <f t="shared" si="94"/>
        <v>9</v>
      </c>
      <c r="Z27" s="27">
        <f t="shared" si="95"/>
        <v>2.25</v>
      </c>
      <c r="AA27" s="18">
        <f t="shared" si="96"/>
        <v>4</v>
      </c>
      <c r="AB27" s="55">
        <f t="shared" si="97"/>
        <v>1.5</v>
      </c>
      <c r="AC27" s="27">
        <f t="shared" si="98"/>
        <v>10</v>
      </c>
      <c r="AD27" s="27">
        <f t="shared" si="99"/>
        <v>2.5</v>
      </c>
      <c r="AE27" s="18">
        <f t="shared" si="100"/>
        <v>6</v>
      </c>
      <c r="AF27" s="55">
        <f t="shared" si="101"/>
        <v>0.75</v>
      </c>
      <c r="AG27" s="27">
        <f t="shared" si="102"/>
        <v>5</v>
      </c>
      <c r="AH27" s="27">
        <f t="shared" si="103"/>
        <v>1.25</v>
      </c>
      <c r="AI27" s="18">
        <f t="shared" si="104"/>
        <v>3</v>
      </c>
      <c r="AJ27" s="27">
        <v>3</v>
      </c>
      <c r="AK27" s="27">
        <v>0.15</v>
      </c>
      <c r="AL27" s="27">
        <v>0.15</v>
      </c>
      <c r="AM27" s="18">
        <v>0.01</v>
      </c>
      <c r="AN27" s="27">
        <f t="shared" si="105"/>
        <v>151</v>
      </c>
      <c r="AO27" s="27">
        <f t="shared" si="106"/>
        <v>0.13408799999999998</v>
      </c>
      <c r="AP27" s="18">
        <f t="shared" si="107"/>
        <v>5.2987499999999988E-3</v>
      </c>
      <c r="AQ27" s="11">
        <f t="shared" si="108"/>
        <v>10.44690895392306</v>
      </c>
      <c r="AR27" s="26">
        <f t="shared" si="109"/>
        <v>10.44690895392306</v>
      </c>
      <c r="AS27" s="11">
        <f t="shared" si="110"/>
        <v>2.578125</v>
      </c>
      <c r="AT27" s="11">
        <f t="shared" si="111"/>
        <v>7.4242693537361433</v>
      </c>
      <c r="AU27" s="11">
        <f t="shared" si="112"/>
        <v>25</v>
      </c>
      <c r="AV27" s="26">
        <f t="shared" si="113"/>
        <v>1.6513544780128522</v>
      </c>
      <c r="AW27" s="18" t="str">
        <f t="shared" si="114"/>
        <v>CUMPLE</v>
      </c>
      <c r="AX27" s="26">
        <f t="shared" si="115"/>
        <v>2.765798491883936</v>
      </c>
      <c r="AY27" s="18" t="str">
        <f t="shared" si="116"/>
        <v>CUMPLE</v>
      </c>
      <c r="AZ27" s="92">
        <f t="shared" si="117"/>
        <v>7.1976779739421008</v>
      </c>
      <c r="BA27" s="56" t="str">
        <f t="shared" si="118"/>
        <v>CUMPLE</v>
      </c>
    </row>
    <row r="28" spans="1:53">
      <c r="A28" s="166">
        <v>630</v>
      </c>
      <c r="B28" s="166">
        <v>630</v>
      </c>
      <c r="C28" s="10">
        <v>10</v>
      </c>
      <c r="D28" s="18">
        <f t="shared" si="76"/>
        <v>31.172453105244724</v>
      </c>
      <c r="E28" s="117">
        <v>5</v>
      </c>
      <c r="F28" s="55">
        <f t="shared" si="77"/>
        <v>3.15</v>
      </c>
      <c r="G28" s="117">
        <f t="shared" si="78"/>
        <v>2.5</v>
      </c>
      <c r="H28" s="55">
        <f t="shared" si="79"/>
        <v>1.575</v>
      </c>
      <c r="I28" s="117">
        <v>3</v>
      </c>
      <c r="J28" s="55">
        <f t="shared" si="80"/>
        <v>1.8900000000000001</v>
      </c>
      <c r="K28" s="117">
        <f t="shared" si="81"/>
        <v>1.5</v>
      </c>
      <c r="L28" s="55">
        <f t="shared" si="82"/>
        <v>0.94500000000000006</v>
      </c>
      <c r="M28" s="27">
        <f t="shared" si="83"/>
        <v>7.4418749999999996</v>
      </c>
      <c r="N28" s="86">
        <v>1.1000000000000001</v>
      </c>
      <c r="O28" s="27">
        <f t="shared" si="84"/>
        <v>13.167000000000002</v>
      </c>
      <c r="P28" s="18">
        <f t="shared" si="85"/>
        <v>8.1860625000000002</v>
      </c>
      <c r="Q28" s="48">
        <f t="shared" si="86"/>
        <v>0.78554581825216707</v>
      </c>
      <c r="R28" s="55">
        <f t="shared" si="87"/>
        <v>7.4005166817478329</v>
      </c>
      <c r="S28" s="56">
        <f t="shared" si="88"/>
        <v>17.761240036194799</v>
      </c>
      <c r="T28" s="55">
        <f t="shared" si="89"/>
        <v>1.1000000000000001</v>
      </c>
      <c r="U28" s="27">
        <f t="shared" si="90"/>
        <v>13</v>
      </c>
      <c r="V28" s="27">
        <f t="shared" si="91"/>
        <v>3.15</v>
      </c>
      <c r="W28" s="18">
        <f t="shared" si="92"/>
        <v>5</v>
      </c>
      <c r="X28" s="55">
        <f t="shared" si="93"/>
        <v>1.1000000000000001</v>
      </c>
      <c r="Y28" s="27">
        <f t="shared" si="94"/>
        <v>12</v>
      </c>
      <c r="Z28" s="27">
        <f t="shared" si="95"/>
        <v>2.835</v>
      </c>
      <c r="AA28" s="18">
        <f t="shared" si="96"/>
        <v>5</v>
      </c>
      <c r="AB28" s="55">
        <f t="shared" si="97"/>
        <v>1.8900000000000001</v>
      </c>
      <c r="AC28" s="27">
        <f t="shared" si="98"/>
        <v>13</v>
      </c>
      <c r="AD28" s="27">
        <f t="shared" si="99"/>
        <v>3.15</v>
      </c>
      <c r="AE28" s="18">
        <f t="shared" si="100"/>
        <v>8</v>
      </c>
      <c r="AF28" s="55">
        <f t="shared" si="101"/>
        <v>0.94500000000000006</v>
      </c>
      <c r="AG28" s="27">
        <f t="shared" si="102"/>
        <v>7</v>
      </c>
      <c r="AH28" s="27">
        <f t="shared" si="103"/>
        <v>1.575</v>
      </c>
      <c r="AI28" s="18">
        <f t="shared" si="104"/>
        <v>4</v>
      </c>
      <c r="AJ28" s="27">
        <v>3</v>
      </c>
      <c r="AK28" s="27">
        <v>0.15</v>
      </c>
      <c r="AL28" s="27">
        <v>0.15</v>
      </c>
      <c r="AM28" s="18">
        <v>0.01</v>
      </c>
      <c r="AN28" s="27">
        <f t="shared" si="105"/>
        <v>240.21999999999997</v>
      </c>
      <c r="AO28" s="27">
        <f t="shared" si="106"/>
        <v>0.21331535999999998</v>
      </c>
      <c r="AP28" s="18">
        <f t="shared" si="107"/>
        <v>5.2987499999999988E-3</v>
      </c>
      <c r="AQ28" s="11">
        <f t="shared" si="108"/>
        <v>17.9798541461948</v>
      </c>
      <c r="AR28" s="26">
        <f t="shared" si="109"/>
        <v>17.9798541461948</v>
      </c>
      <c r="AS28" s="11">
        <f t="shared" si="110"/>
        <v>4.293961874999999</v>
      </c>
      <c r="AT28" s="11">
        <f t="shared" si="111"/>
        <v>12.696075132081033</v>
      </c>
      <c r="AU28" s="11">
        <f t="shared" si="112"/>
        <v>34.650000000000006</v>
      </c>
      <c r="AV28" s="26">
        <f t="shared" si="113"/>
        <v>1.5188434151213825</v>
      </c>
      <c r="AW28" s="18" t="str">
        <f t="shared" si="114"/>
        <v>CUMPLE</v>
      </c>
      <c r="AX28" s="26">
        <f t="shared" si="115"/>
        <v>2.9531104996105495</v>
      </c>
      <c r="AY28" s="18" t="str">
        <f t="shared" si="116"/>
        <v>CUMPLE</v>
      </c>
      <c r="AZ28" s="92">
        <f t="shared" si="117"/>
        <v>6.682173358097808</v>
      </c>
      <c r="BA28" s="56" t="str">
        <f t="shared" si="118"/>
        <v>CUMPLE</v>
      </c>
    </row>
    <row r="34" spans="1:2">
      <c r="A34" s="10"/>
      <c r="B34" s="10"/>
    </row>
  </sheetData>
  <mergeCells count="13">
    <mergeCell ref="AX16:AY16"/>
    <mergeCell ref="AV15:BA15"/>
    <mergeCell ref="Q15:S15"/>
    <mergeCell ref="E15:P15"/>
    <mergeCell ref="T15:W15"/>
    <mergeCell ref="X15:AA15"/>
    <mergeCell ref="AB15:AE15"/>
    <mergeCell ref="AF15:AI15"/>
    <mergeCell ref="AJ15:AM15"/>
    <mergeCell ref="AN15:AO15"/>
    <mergeCell ref="AR15:AU15"/>
    <mergeCell ref="AZ16:BA16"/>
    <mergeCell ref="AV16:AW1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8"/>
  <sheetViews>
    <sheetView zoomScale="85" zoomScaleNormal="85" workbookViewId="0">
      <selection activeCell="AR31" sqref="AR31"/>
    </sheetView>
  </sheetViews>
  <sheetFormatPr baseColWidth="10" defaultRowHeight="15"/>
  <cols>
    <col min="1" max="10" width="11.42578125" style="42"/>
    <col min="11" max="17" width="0" style="42" hidden="1" customWidth="1"/>
    <col min="18" max="19" width="14.7109375" style="42" hidden="1" customWidth="1"/>
    <col min="20" max="20" width="15.7109375" style="42" hidden="1" customWidth="1"/>
    <col min="21" max="23" width="14.7109375" style="42" hidden="1" customWidth="1"/>
    <col min="24" max="24" width="11.42578125" style="42" hidden="1" customWidth="1"/>
    <col min="25" max="35" width="0" style="42" hidden="1" customWidth="1"/>
    <col min="36" max="36" width="14.7109375" style="42" hidden="1" customWidth="1"/>
    <col min="37" max="38" width="15.140625" style="42" hidden="1" customWidth="1"/>
    <col min="39" max="42" width="0" style="42" hidden="1" customWidth="1"/>
    <col min="43" max="16384" width="11.42578125" style="42"/>
  </cols>
  <sheetData>
    <row r="1" spans="1:48">
      <c r="A1" s="4" t="s">
        <v>35</v>
      </c>
      <c r="F1" s="3"/>
      <c r="G1" s="4" t="s">
        <v>36</v>
      </c>
      <c r="M1" s="4" t="s">
        <v>88</v>
      </c>
      <c r="AG1" s="2"/>
      <c r="AH1" s="2"/>
    </row>
    <row r="2" spans="1:48">
      <c r="A2" s="5" t="s">
        <v>4</v>
      </c>
      <c r="D2" s="44">
        <v>2.4</v>
      </c>
      <c r="E2" s="13" t="s">
        <v>0</v>
      </c>
      <c r="G2" s="5" t="s">
        <v>30</v>
      </c>
      <c r="H2" s="44"/>
      <c r="I2" s="43">
        <v>70</v>
      </c>
      <c r="J2" s="45" t="s">
        <v>33</v>
      </c>
      <c r="K2" s="45"/>
      <c r="L2" s="45"/>
      <c r="M2" s="5" t="s">
        <v>49</v>
      </c>
      <c r="N2" s="3">
        <v>1.5</v>
      </c>
      <c r="O2" s="45" t="s">
        <v>51</v>
      </c>
      <c r="P2" s="45"/>
      <c r="Q2" s="45"/>
    </row>
    <row r="3" spans="1:48">
      <c r="A3" s="5" t="s">
        <v>5</v>
      </c>
      <c r="D3" s="44">
        <v>7.85</v>
      </c>
      <c r="E3" s="13" t="s">
        <v>0</v>
      </c>
      <c r="G3" s="5" t="s">
        <v>32</v>
      </c>
      <c r="H3" s="44"/>
      <c r="I3" s="43">
        <v>12</v>
      </c>
      <c r="J3" s="45" t="s">
        <v>33</v>
      </c>
      <c r="K3" s="45"/>
      <c r="L3" s="45"/>
      <c r="M3" s="5" t="s">
        <v>50</v>
      </c>
      <c r="N3" s="3">
        <v>1.8</v>
      </c>
      <c r="O3" s="45" t="s">
        <v>52</v>
      </c>
      <c r="P3" s="45"/>
      <c r="Q3" s="45"/>
    </row>
    <row r="4" spans="1:48">
      <c r="A4" s="5" t="s">
        <v>6</v>
      </c>
      <c r="D4" s="44">
        <v>1.8</v>
      </c>
      <c r="E4" s="13" t="s">
        <v>0</v>
      </c>
      <c r="G4" s="5" t="s">
        <v>31</v>
      </c>
      <c r="H4" s="44"/>
      <c r="I4" s="43">
        <v>250</v>
      </c>
      <c r="J4" s="45" t="s">
        <v>33</v>
      </c>
      <c r="K4" s="45"/>
      <c r="L4" s="45"/>
      <c r="M4" s="5" t="s">
        <v>63</v>
      </c>
      <c r="N4" s="3">
        <v>3</v>
      </c>
      <c r="O4" s="45" t="s">
        <v>64</v>
      </c>
      <c r="P4" s="45"/>
      <c r="Q4" s="45"/>
    </row>
    <row r="5" spans="1:48">
      <c r="A5" s="5" t="s">
        <v>34</v>
      </c>
      <c r="D5" s="44">
        <v>0.56999999999999995</v>
      </c>
      <c r="E5" s="5"/>
      <c r="G5" s="5" t="s">
        <v>91</v>
      </c>
      <c r="H5" s="44"/>
      <c r="I5" s="43">
        <v>0.88800000000000001</v>
      </c>
      <c r="J5" s="45" t="s">
        <v>92</v>
      </c>
      <c r="K5" s="43"/>
      <c r="L5" s="43"/>
      <c r="M5" s="43"/>
      <c r="N5" s="43"/>
      <c r="O5" s="43"/>
      <c r="P5" s="43"/>
      <c r="Q5" s="43"/>
    </row>
    <row r="6" spans="1:48">
      <c r="A6" s="5" t="s">
        <v>123</v>
      </c>
      <c r="D6" s="44">
        <f>+D7*D8</f>
        <v>10</v>
      </c>
      <c r="E6" s="13" t="s">
        <v>1</v>
      </c>
      <c r="F6" s="45"/>
      <c r="G6" s="8"/>
      <c r="H6" s="44"/>
      <c r="I6" s="43"/>
      <c r="J6" s="43"/>
      <c r="K6" s="43"/>
      <c r="L6" s="43"/>
      <c r="M6" s="43"/>
      <c r="N6" s="43"/>
      <c r="O6" s="43"/>
      <c r="P6" s="43"/>
      <c r="Q6" s="43"/>
    </row>
    <row r="7" spans="1:48" s="116" customFormat="1">
      <c r="A7" s="5" t="s">
        <v>131</v>
      </c>
      <c r="D7" s="44">
        <v>20</v>
      </c>
      <c r="E7" s="13" t="s">
        <v>1</v>
      </c>
      <c r="F7" s="88" t="s">
        <v>130</v>
      </c>
      <c r="G7" s="88"/>
      <c r="H7" s="89"/>
      <c r="I7" s="90"/>
      <c r="J7" s="91"/>
      <c r="K7" s="43"/>
      <c r="L7" s="43"/>
      <c r="M7" s="43"/>
      <c r="N7" s="43"/>
      <c r="O7" s="43"/>
    </row>
    <row r="8" spans="1:48" s="116" customFormat="1">
      <c r="A8" s="5" t="s">
        <v>129</v>
      </c>
      <c r="D8" s="44">
        <v>0.5</v>
      </c>
      <c r="E8" s="13"/>
      <c r="F8" s="45"/>
      <c r="G8" s="45"/>
      <c r="H8" s="8"/>
      <c r="I8" s="44"/>
      <c r="J8" s="43"/>
      <c r="K8" s="43"/>
      <c r="L8" s="43"/>
      <c r="M8" s="43"/>
      <c r="N8" s="43"/>
      <c r="O8" s="43"/>
    </row>
    <row r="9" spans="1:48" s="116" customFormat="1">
      <c r="A9" s="5" t="s">
        <v>46</v>
      </c>
      <c r="D9" s="44">
        <v>1</v>
      </c>
      <c r="E9" s="13" t="s">
        <v>47</v>
      </c>
      <c r="G9" s="8"/>
      <c r="H9" s="44"/>
      <c r="I9" s="43"/>
      <c r="J9" s="43"/>
      <c r="K9" s="43"/>
      <c r="L9" s="43"/>
      <c r="M9" s="43"/>
      <c r="N9" s="43"/>
      <c r="O9" s="43"/>
    </row>
    <row r="10" spans="1:48">
      <c r="A10" s="5"/>
      <c r="E10" s="43"/>
      <c r="G10" s="8"/>
      <c r="H10" s="44"/>
      <c r="I10" s="43"/>
      <c r="J10" s="43"/>
      <c r="K10" s="43"/>
      <c r="L10" s="43"/>
      <c r="M10" s="43"/>
      <c r="N10" s="43"/>
      <c r="O10" s="43"/>
      <c r="P10" s="43"/>
      <c r="Q10" s="43"/>
    </row>
    <row r="11" spans="1:48">
      <c r="A11" s="5" t="s">
        <v>37</v>
      </c>
      <c r="B11" s="45" t="s">
        <v>2</v>
      </c>
      <c r="D11" s="44"/>
      <c r="E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3"/>
      <c r="Z11" s="43"/>
      <c r="AA11" s="43"/>
      <c r="AB11" s="43"/>
      <c r="AC11" s="43"/>
      <c r="AD11" s="43"/>
      <c r="AE11" s="43"/>
      <c r="AF11" s="43"/>
    </row>
    <row r="12" spans="1:48">
      <c r="A12" s="5" t="s">
        <v>38</v>
      </c>
      <c r="B12" s="45" t="s">
        <v>3</v>
      </c>
      <c r="D12" s="44"/>
      <c r="E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3"/>
      <c r="Z12" s="43"/>
      <c r="AA12" s="43"/>
      <c r="AB12" s="43"/>
      <c r="AC12" s="43"/>
      <c r="AD12" s="43"/>
      <c r="AE12" s="43"/>
      <c r="AF12" s="43"/>
    </row>
    <row r="13" spans="1:48">
      <c r="A13" s="5" t="s">
        <v>39</v>
      </c>
      <c r="B13" s="45" t="s">
        <v>40</v>
      </c>
      <c r="D13" s="44"/>
      <c r="E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3"/>
      <c r="Z13" s="43"/>
      <c r="AA13" s="43"/>
      <c r="AB13" s="43"/>
      <c r="AC13" s="43"/>
      <c r="AD13" s="43"/>
      <c r="AE13" s="43"/>
      <c r="AF13" s="43"/>
    </row>
    <row r="14" spans="1:48">
      <c r="A14" s="5" t="s">
        <v>41</v>
      </c>
      <c r="B14" s="45" t="s">
        <v>42</v>
      </c>
      <c r="D14" s="44"/>
      <c r="E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3"/>
      <c r="Z14" s="43"/>
      <c r="AA14" s="43"/>
      <c r="AB14" s="43"/>
      <c r="AC14" s="43"/>
      <c r="AD14" s="43"/>
      <c r="AE14" s="43"/>
      <c r="AF14" s="43"/>
    </row>
    <row r="15" spans="1:48" ht="15" customHeight="1">
      <c r="A15" s="40"/>
      <c r="B15" s="40"/>
      <c r="C15" s="40"/>
      <c r="D15" s="132" t="s">
        <v>146</v>
      </c>
      <c r="E15" s="132"/>
      <c r="F15" s="132"/>
      <c r="G15" s="132"/>
      <c r="H15" s="132"/>
      <c r="I15" s="132"/>
      <c r="J15" s="132"/>
      <c r="K15" s="132" t="s">
        <v>83</v>
      </c>
      <c r="L15" s="132"/>
      <c r="M15" s="132"/>
      <c r="N15" s="132"/>
      <c r="O15" s="132"/>
      <c r="P15" s="132"/>
      <c r="Q15" s="132"/>
      <c r="R15" s="36" t="s">
        <v>22</v>
      </c>
      <c r="S15" s="36" t="s">
        <v>147</v>
      </c>
      <c r="T15" s="131" t="s">
        <v>57</v>
      </c>
      <c r="U15" s="131"/>
      <c r="V15" s="131" t="s">
        <v>87</v>
      </c>
      <c r="W15" s="131"/>
      <c r="X15" s="132" t="s">
        <v>150</v>
      </c>
      <c r="Y15" s="132"/>
      <c r="Z15" s="132"/>
      <c r="AA15" s="132"/>
      <c r="AB15" s="132" t="s">
        <v>139</v>
      </c>
      <c r="AC15" s="132"/>
      <c r="AD15" s="132"/>
      <c r="AE15" s="132"/>
      <c r="AF15" s="132" t="s">
        <v>140</v>
      </c>
      <c r="AG15" s="132"/>
      <c r="AH15" s="132"/>
      <c r="AI15" s="132"/>
      <c r="AJ15" s="133" t="s">
        <v>136</v>
      </c>
      <c r="AK15" s="134"/>
      <c r="AL15" s="115" t="s">
        <v>137</v>
      </c>
      <c r="AM15" s="132" t="s">
        <v>48</v>
      </c>
      <c r="AN15" s="132"/>
      <c r="AO15" s="132"/>
      <c r="AP15" s="132"/>
      <c r="AQ15" s="160" t="s">
        <v>133</v>
      </c>
      <c r="AR15" s="160"/>
      <c r="AS15" s="160"/>
      <c r="AT15" s="160"/>
      <c r="AU15" s="160"/>
      <c r="AV15" s="160"/>
    </row>
    <row r="16" spans="1:48" ht="20.25" customHeight="1">
      <c r="A16" s="39" t="s">
        <v>7</v>
      </c>
      <c r="B16" s="39" t="s">
        <v>15</v>
      </c>
      <c r="C16" s="16" t="s">
        <v>8</v>
      </c>
      <c r="D16" s="72" t="s">
        <v>125</v>
      </c>
      <c r="E16" s="46" t="s">
        <v>17</v>
      </c>
      <c r="F16" s="72" t="s">
        <v>124</v>
      </c>
      <c r="G16" s="46" t="s">
        <v>80</v>
      </c>
      <c r="H16" s="72" t="s">
        <v>126</v>
      </c>
      <c r="I16" s="28" t="s">
        <v>20</v>
      </c>
      <c r="J16" s="51" t="s">
        <v>21</v>
      </c>
      <c r="K16" s="47" t="s">
        <v>84</v>
      </c>
      <c r="L16" s="72" t="s">
        <v>127</v>
      </c>
      <c r="M16" s="28" t="s">
        <v>81</v>
      </c>
      <c r="N16" s="72" t="s">
        <v>128</v>
      </c>
      <c r="O16" s="28" t="s">
        <v>18</v>
      </c>
      <c r="P16" s="28" t="s">
        <v>86</v>
      </c>
      <c r="Q16" s="51" t="s">
        <v>21</v>
      </c>
      <c r="R16" s="85" t="s">
        <v>149</v>
      </c>
      <c r="S16" s="19" t="s">
        <v>148</v>
      </c>
      <c r="T16" s="84" t="s">
        <v>148</v>
      </c>
      <c r="U16" s="85" t="s">
        <v>135</v>
      </c>
      <c r="V16" s="84" t="s">
        <v>148</v>
      </c>
      <c r="W16" s="85" t="s">
        <v>135</v>
      </c>
      <c r="X16" s="22" t="s">
        <v>17</v>
      </c>
      <c r="Y16" s="57" t="s">
        <v>119</v>
      </c>
      <c r="Z16" s="57" t="s">
        <v>80</v>
      </c>
      <c r="AA16" s="57" t="s">
        <v>120</v>
      </c>
      <c r="AB16" s="22" t="s">
        <v>17</v>
      </c>
      <c r="AC16" s="57" t="s">
        <v>119</v>
      </c>
      <c r="AD16" s="28" t="s">
        <v>20</v>
      </c>
      <c r="AE16" s="58" t="s">
        <v>111</v>
      </c>
      <c r="AF16" s="22" t="s">
        <v>80</v>
      </c>
      <c r="AG16" s="57" t="s">
        <v>120</v>
      </c>
      <c r="AH16" s="28" t="s">
        <v>20</v>
      </c>
      <c r="AI16" s="58" t="s">
        <v>111</v>
      </c>
      <c r="AJ16" s="119" t="s">
        <v>134</v>
      </c>
      <c r="AK16" s="118" t="s">
        <v>135</v>
      </c>
      <c r="AL16" s="46" t="s">
        <v>135</v>
      </c>
      <c r="AM16" s="22" t="s">
        <v>39</v>
      </c>
      <c r="AN16" s="46" t="s">
        <v>41</v>
      </c>
      <c r="AO16" s="46" t="s">
        <v>37</v>
      </c>
      <c r="AP16" s="94" t="s">
        <v>38</v>
      </c>
      <c r="AQ16" s="152" t="s">
        <v>55</v>
      </c>
      <c r="AR16" s="141"/>
      <c r="AS16" s="137" t="s">
        <v>56</v>
      </c>
      <c r="AT16" s="137"/>
      <c r="AU16" s="161" t="s">
        <v>62</v>
      </c>
      <c r="AV16" s="143"/>
    </row>
    <row r="17" spans="1:48">
      <c r="A17" s="15" t="s">
        <v>9</v>
      </c>
      <c r="B17" s="15" t="s">
        <v>11</v>
      </c>
      <c r="C17" s="17" t="s">
        <v>12</v>
      </c>
      <c r="D17" s="72" t="s">
        <v>59</v>
      </c>
      <c r="E17" s="46" t="s">
        <v>16</v>
      </c>
      <c r="F17" s="72" t="s">
        <v>59</v>
      </c>
      <c r="G17" s="46" t="s">
        <v>16</v>
      </c>
      <c r="H17" s="72" t="s">
        <v>59</v>
      </c>
      <c r="I17" s="46" t="s">
        <v>16</v>
      </c>
      <c r="J17" s="16" t="s">
        <v>23</v>
      </c>
      <c r="K17" s="23" t="s">
        <v>85</v>
      </c>
      <c r="L17" s="72" t="s">
        <v>59</v>
      </c>
      <c r="M17" s="46" t="s">
        <v>16</v>
      </c>
      <c r="N17" s="72" t="s">
        <v>59</v>
      </c>
      <c r="O17" s="46" t="s">
        <v>16</v>
      </c>
      <c r="P17" s="46" t="s">
        <v>16</v>
      </c>
      <c r="Q17" s="16" t="s">
        <v>23</v>
      </c>
      <c r="R17" s="17" t="s">
        <v>23</v>
      </c>
      <c r="S17" s="20" t="s">
        <v>24</v>
      </c>
      <c r="T17" s="25" t="s">
        <v>24</v>
      </c>
      <c r="U17" s="17" t="s">
        <v>12</v>
      </c>
      <c r="V17" s="25" t="s">
        <v>24</v>
      </c>
      <c r="W17" s="17" t="s">
        <v>12</v>
      </c>
      <c r="X17" s="24" t="s">
        <v>16</v>
      </c>
      <c r="Y17" s="25" t="s">
        <v>29</v>
      </c>
      <c r="Z17" s="25" t="s">
        <v>16</v>
      </c>
      <c r="AA17" s="25" t="s">
        <v>29</v>
      </c>
      <c r="AB17" s="24" t="s">
        <v>16</v>
      </c>
      <c r="AC17" s="25" t="s">
        <v>29</v>
      </c>
      <c r="AD17" s="25" t="s">
        <v>16</v>
      </c>
      <c r="AE17" s="59" t="s">
        <v>29</v>
      </c>
      <c r="AF17" s="24" t="s">
        <v>16</v>
      </c>
      <c r="AG17" s="25" t="s">
        <v>29</v>
      </c>
      <c r="AH17" s="25" t="s">
        <v>16</v>
      </c>
      <c r="AI17" s="59" t="s">
        <v>29</v>
      </c>
      <c r="AJ17" s="25" t="s">
        <v>16</v>
      </c>
      <c r="AK17" s="17" t="s">
        <v>12</v>
      </c>
      <c r="AL17" s="14" t="s">
        <v>12</v>
      </c>
      <c r="AM17" s="24" t="s">
        <v>12</v>
      </c>
      <c r="AN17" s="14" t="s">
        <v>12</v>
      </c>
      <c r="AO17" s="14" t="s">
        <v>12</v>
      </c>
      <c r="AP17" s="14" t="s">
        <v>12</v>
      </c>
      <c r="AQ17" s="22" t="s">
        <v>53</v>
      </c>
      <c r="AR17" s="85" t="s">
        <v>54</v>
      </c>
      <c r="AS17" s="22" t="s">
        <v>53</v>
      </c>
      <c r="AT17" s="85" t="s">
        <v>54</v>
      </c>
      <c r="AU17" s="95" t="s">
        <v>53</v>
      </c>
      <c r="AV17" s="61" t="s">
        <v>54</v>
      </c>
    </row>
    <row r="18" spans="1:48">
      <c r="A18" s="54">
        <v>90</v>
      </c>
      <c r="B18" s="10">
        <v>10</v>
      </c>
      <c r="C18" s="18">
        <f>(B18/0.0001)*(PI()*(A18/1000)^2/4)/1000</f>
        <v>0.63617251235193306</v>
      </c>
      <c r="D18" s="60">
        <v>0.25</v>
      </c>
      <c r="E18" s="11">
        <f>+D18+(A18/1000)</f>
        <v>0.33999999999999997</v>
      </c>
      <c r="F18" s="60">
        <f>+D18</f>
        <v>0.25</v>
      </c>
      <c r="G18" s="11">
        <f>+F18+(A18/1000)</f>
        <v>0.33999999999999997</v>
      </c>
      <c r="H18" s="60">
        <f>+D18</f>
        <v>0.25</v>
      </c>
      <c r="I18" s="11">
        <f>+H18+(A18/1000)</f>
        <v>0.33999999999999997</v>
      </c>
      <c r="J18" s="18">
        <f>+E18*G18</f>
        <v>0.11559999999999998</v>
      </c>
      <c r="K18" s="73">
        <v>1</v>
      </c>
      <c r="L18" s="60">
        <v>0.05</v>
      </c>
      <c r="M18" s="11">
        <f>+L18*2+(A18/1000)</f>
        <v>0.19</v>
      </c>
      <c r="N18" s="60">
        <f>+L18</f>
        <v>0.05</v>
      </c>
      <c r="O18" s="11">
        <f>+N18*2+(A18/1000)</f>
        <v>0.19</v>
      </c>
      <c r="P18" s="87">
        <v>1.4999999999999999E-2</v>
      </c>
      <c r="Q18" s="50">
        <f>+M18*O18-PI()*(A18/1000)^2/4</f>
        <v>2.9738274876480668E-2</v>
      </c>
      <c r="R18" s="18">
        <f>+(E18*I18)*2+(G18*I18)*2</f>
        <v>0.46239999999999992</v>
      </c>
      <c r="S18" s="21">
        <f>+J18*I18</f>
        <v>3.9303999999999992E-2</v>
      </c>
      <c r="T18" s="27">
        <f>+S18-PI()*(A18/1000)^2/4*E18</f>
        <v>3.714101345800342E-2</v>
      </c>
      <c r="U18" s="18">
        <f>+T18*$D$2</f>
        <v>8.9138432299208203E-2</v>
      </c>
      <c r="V18" s="49">
        <f>+K18*Q18*P18</f>
        <v>4.4607412314721001E-4</v>
      </c>
      <c r="W18" s="50">
        <f>+V18*$D$3</f>
        <v>3.5016818667055983E-3</v>
      </c>
      <c r="X18" s="26">
        <f>+E18</f>
        <v>0.33999999999999997</v>
      </c>
      <c r="Y18" s="27">
        <f>+ROUND((G18-2*($I$2/1000))/($I$4/1000),0)+1</f>
        <v>2</v>
      </c>
      <c r="Z18" s="27">
        <f>+G18</f>
        <v>0.33999999999999997</v>
      </c>
      <c r="AA18" s="27">
        <f>+ROUND((E18-2*($I$2/1000))/($I$4/1000),0)+1</f>
        <v>2</v>
      </c>
      <c r="AB18" s="26">
        <f>+E18</f>
        <v>0.33999999999999997</v>
      </c>
      <c r="AC18" s="27">
        <f>+ROUND((I18-2*($I$2/1000))/($I$4/1000),0)+1</f>
        <v>2</v>
      </c>
      <c r="AD18" s="27">
        <f>+I18</f>
        <v>0.33999999999999997</v>
      </c>
      <c r="AE18" s="18">
        <f>+ROUND((E18-2*($I$2/1000))/($I$4/1000),0)+1</f>
        <v>2</v>
      </c>
      <c r="AF18" s="26">
        <f>+G18</f>
        <v>0.33999999999999997</v>
      </c>
      <c r="AG18" s="27">
        <f>+ROUND((I18-2*($I$2/1000))/($I$4/1000),0)+1</f>
        <v>2</v>
      </c>
      <c r="AH18" s="27">
        <f>+I18</f>
        <v>0.33999999999999997</v>
      </c>
      <c r="AI18" s="18">
        <f>+ROUND((E18-2*($I$2/1000))/($I$4/1000),0)+1</f>
        <v>2</v>
      </c>
      <c r="AJ18" s="27">
        <f>+(X18*Y18+Z18*AA18)*2+(AB18*AC18+AD18*AE18)*2+(AF18*AG18+AH18*AI18)*2</f>
        <v>8.16</v>
      </c>
      <c r="AK18" s="18">
        <f>+AJ18*$I$5/1000</f>
        <v>7.2460800000000002E-3</v>
      </c>
      <c r="AL18" s="11">
        <f>+U18+W18+AK18</f>
        <v>9.9886194165913808E-2</v>
      </c>
      <c r="AM18" s="26">
        <f>+AL18</f>
        <v>9.9886194165913808E-2</v>
      </c>
      <c r="AN18" s="11">
        <f>+J18*($D$9-(I18/2-A18/2000))*$D$4</f>
        <v>0.18206999999999998</v>
      </c>
      <c r="AO18" s="11">
        <f>+$D$5*(AM18+AN18)</f>
        <v>0.16071503067457085</v>
      </c>
      <c r="AP18" s="11">
        <f>+(G18*I18)*$D$6</f>
        <v>1.1559999999999997</v>
      </c>
      <c r="AQ18" s="26">
        <f>+(AO18+AP18)/C18</f>
        <v>2.069745242224736</v>
      </c>
      <c r="AR18" s="18" t="str">
        <f>+IF(AQ18&gt;$N$2,"CUMPLE",IF(AQ18=$N$2,"CUMPLE","NO CUMPLE"))</f>
        <v>CUMPLE</v>
      </c>
      <c r="AS18" s="26">
        <f>+(AM18*G18/2+AN18*G18/2+AP18*I18/2)/(C18*I18/2)</f>
        <v>2.2603243086529816</v>
      </c>
      <c r="AT18" s="18" t="str">
        <f>+IF(AS18&gt;$N$3,"CUMPLE",IF(AS18=$N$3,"CUMPLE","NO CUMPLE"))</f>
        <v>CUMPLE</v>
      </c>
      <c r="AU18" s="92">
        <f>+$D$7/((AM18+AN18)/J18)</f>
        <v>8.1998553244747328</v>
      </c>
      <c r="AV18" s="56" t="str">
        <f>+IF(AU18&gt;$N$4,"CUMPLE",IF(AU18=$N$4,"CUMPLE","NO CUMPLE"))</f>
        <v>CUMPLE</v>
      </c>
    </row>
    <row r="19" spans="1:48">
      <c r="A19" s="54">
        <v>110</v>
      </c>
      <c r="B19" s="10">
        <v>10</v>
      </c>
      <c r="C19" s="18">
        <f t="shared" ref="C19:C23" si="0">(B19/0.0001)*(PI()*(A19/1000)^2/4)/1000</f>
        <v>0.95033177771091248</v>
      </c>
      <c r="D19" s="60">
        <v>0.4</v>
      </c>
      <c r="E19" s="11">
        <f t="shared" ref="E19:E23" si="1">+D19+(A19/1000)</f>
        <v>0.51</v>
      </c>
      <c r="F19" s="60">
        <f t="shared" ref="F19:F23" si="2">+D19</f>
        <v>0.4</v>
      </c>
      <c r="G19" s="11">
        <f t="shared" ref="G19:G23" si="3">+F19+(A19/1000)</f>
        <v>0.51</v>
      </c>
      <c r="H19" s="60">
        <f t="shared" ref="H19:H22" si="4">+D19</f>
        <v>0.4</v>
      </c>
      <c r="I19" s="11">
        <f t="shared" ref="I19:I23" si="5">+H19+(A19/1000)</f>
        <v>0.51</v>
      </c>
      <c r="J19" s="18">
        <f t="shared" ref="J19:J23" si="6">+E19*G19</f>
        <v>0.2601</v>
      </c>
      <c r="K19" s="73">
        <v>1</v>
      </c>
      <c r="L19" s="60">
        <v>7.4999999999999997E-2</v>
      </c>
      <c r="M19" s="11">
        <f t="shared" ref="M19:M23" si="7">+L19*2+(A19/1000)</f>
        <v>0.26</v>
      </c>
      <c r="N19" s="60">
        <f t="shared" ref="N19:N23" si="8">+L19</f>
        <v>7.4999999999999997E-2</v>
      </c>
      <c r="O19" s="11">
        <f t="shared" ref="O19:O23" si="9">+N19*2+(A19/1000)</f>
        <v>0.26</v>
      </c>
      <c r="P19" s="87">
        <v>1.4999999999999999E-2</v>
      </c>
      <c r="Q19" s="50">
        <f t="shared" ref="Q19:Q23" si="10">+M19*O19-PI()*(A19/1000)^2/4</f>
        <v>5.8096682222890883E-2</v>
      </c>
      <c r="R19" s="18">
        <f t="shared" ref="R19:R23" si="11">+(E19*I19)*2+(G19*I19)*2</f>
        <v>1.0404</v>
      </c>
      <c r="S19" s="21">
        <f t="shared" ref="S19:S23" si="12">+J19*I19</f>
        <v>0.13265099999999999</v>
      </c>
      <c r="T19" s="27">
        <f t="shared" ref="T19:T23" si="13">+S19-PI()*(A19/1000)^2/4*E19</f>
        <v>0.12780430793367434</v>
      </c>
      <c r="U19" s="18">
        <f t="shared" ref="U19:U23" si="14">+T19*$D$2</f>
        <v>0.30673033904081842</v>
      </c>
      <c r="V19" s="49">
        <f t="shared" ref="V19:V23" si="15">+K19*Q19*P19</f>
        <v>8.7145023334336325E-4</v>
      </c>
      <c r="W19" s="50">
        <f t="shared" ref="W19:W23" si="16">+V19*$D$3</f>
        <v>6.8408843317454013E-3</v>
      </c>
      <c r="X19" s="26">
        <f t="shared" ref="X19:X23" si="17">+E19</f>
        <v>0.51</v>
      </c>
      <c r="Y19" s="27">
        <f t="shared" ref="Y19:Y23" si="18">+ROUND((G19-2*($I$2/1000))/($I$4/1000),0)+1</f>
        <v>2</v>
      </c>
      <c r="Z19" s="27">
        <f t="shared" ref="Z19:Z23" si="19">+G19</f>
        <v>0.51</v>
      </c>
      <c r="AA19" s="27">
        <f t="shared" ref="AA19:AA23" si="20">+ROUND((E19-2*($I$2/1000))/($I$4/1000),0)+1</f>
        <v>2</v>
      </c>
      <c r="AB19" s="26">
        <f t="shared" ref="AB19:AB23" si="21">+E19</f>
        <v>0.51</v>
      </c>
      <c r="AC19" s="27">
        <f t="shared" ref="AC19:AC23" si="22">+ROUND((I19-2*($I$2/1000))/($I$4/1000),0)+1</f>
        <v>2</v>
      </c>
      <c r="AD19" s="27">
        <f t="shared" ref="AD19:AD23" si="23">+I19</f>
        <v>0.51</v>
      </c>
      <c r="AE19" s="18">
        <f t="shared" ref="AE19:AE23" si="24">+ROUND((E19-2*($I$2/1000))/($I$4/1000),0)+1</f>
        <v>2</v>
      </c>
      <c r="AF19" s="26">
        <f t="shared" ref="AF19:AF23" si="25">+G19</f>
        <v>0.51</v>
      </c>
      <c r="AG19" s="27">
        <f t="shared" ref="AG19:AG23" si="26">+ROUND((I19-2*($I$2/1000))/($I$4/1000),0)+1</f>
        <v>2</v>
      </c>
      <c r="AH19" s="27">
        <f t="shared" ref="AH19:AH23" si="27">+I19</f>
        <v>0.51</v>
      </c>
      <c r="AI19" s="18">
        <f t="shared" ref="AI19:AI23" si="28">+ROUND((E19-2*($I$2/1000))/($I$4/1000),0)+1</f>
        <v>2</v>
      </c>
      <c r="AJ19" s="27">
        <f t="shared" ref="AJ19:AJ23" si="29">+(X19*Y19+Z19*AA19)*2+(AB19*AC19+AD19*AE19)*2+(AF19*AG19+AH19*AI19)*2</f>
        <v>12.24</v>
      </c>
      <c r="AK19" s="18">
        <f t="shared" ref="AK19:AK23" si="30">+AJ19*$I$5/1000</f>
        <v>1.0869120000000001E-2</v>
      </c>
      <c r="AL19" s="11">
        <f t="shared" ref="AL19:AL23" si="31">+U19+W19+AK19</f>
        <v>0.32444034337256383</v>
      </c>
      <c r="AM19" s="26">
        <f t="shared" ref="AM19:AM23" si="32">+AL19</f>
        <v>0.32444034337256383</v>
      </c>
      <c r="AN19" s="11">
        <f t="shared" ref="AN19:AN23" si="33">+J19*($D$9-(I19/2-A19/2000))*$D$4</f>
        <v>0.37454400000000004</v>
      </c>
      <c r="AO19" s="11">
        <f t="shared" ref="AO19:AO23" si="34">+$D$5*(AM19+AN19)</f>
        <v>0.39842107572236135</v>
      </c>
      <c r="AP19" s="11">
        <f t="shared" ref="AP19:AP23" si="35">+(G19*I19)*$D$6</f>
        <v>2.601</v>
      </c>
      <c r="AQ19" s="26">
        <f t="shared" ref="AQ19:AQ23" si="36">+(AO19+AP19)/C19</f>
        <v>3.1561830784477611</v>
      </c>
      <c r="AR19" s="18" t="str">
        <f t="shared" ref="AR19:AR23" si="37">+IF(AQ19&gt;$N$2,"CUMPLE",IF(AQ19=$N$2,"CUMPLE","NO CUMPLE"))</f>
        <v>CUMPLE</v>
      </c>
      <c r="AS19" s="26">
        <f t="shared" ref="AS19:AS23" si="38">+(AM19*G19/2+AN19*G19/2+AP19*I19/2)/(C19*I19/2)</f>
        <v>3.4724550107345853</v>
      </c>
      <c r="AT19" s="18" t="str">
        <f t="shared" ref="AT19:AT23" si="39">+IF(AS19&gt;$N$3,"CUMPLE",IF(AS19=$N$3,"CUMPLE","NO CUMPLE"))</f>
        <v>CUMPLE</v>
      </c>
      <c r="AU19" s="92">
        <f t="shared" ref="AU19:AU23" si="40">+$D$7/((AM19+AN19)/J19)</f>
        <v>7.4422267813619616</v>
      </c>
      <c r="AV19" s="56" t="str">
        <f t="shared" ref="AV19:AV23" si="41">+IF(AU19&gt;$N$4,"CUMPLE",IF(AU19=$N$4,"CUMPLE","NO CUMPLE"))</f>
        <v>CUMPLE</v>
      </c>
    </row>
    <row r="20" spans="1:48">
      <c r="A20" s="54">
        <v>125</v>
      </c>
      <c r="B20" s="10">
        <v>10</v>
      </c>
      <c r="C20" s="18">
        <f t="shared" si="0"/>
        <v>1.2271846303085128</v>
      </c>
      <c r="D20" s="60">
        <v>0.5</v>
      </c>
      <c r="E20" s="11">
        <f t="shared" si="1"/>
        <v>0.625</v>
      </c>
      <c r="F20" s="60">
        <f t="shared" si="2"/>
        <v>0.5</v>
      </c>
      <c r="G20" s="11">
        <f t="shared" si="3"/>
        <v>0.625</v>
      </c>
      <c r="H20" s="60">
        <f t="shared" si="4"/>
        <v>0.5</v>
      </c>
      <c r="I20" s="11">
        <f t="shared" si="5"/>
        <v>0.625</v>
      </c>
      <c r="J20" s="18">
        <f t="shared" si="6"/>
        <v>0.390625</v>
      </c>
      <c r="K20" s="73">
        <v>1</v>
      </c>
      <c r="L20" s="60">
        <v>0.1</v>
      </c>
      <c r="M20" s="11">
        <f t="shared" si="7"/>
        <v>0.32500000000000001</v>
      </c>
      <c r="N20" s="60">
        <f t="shared" si="8"/>
        <v>0.1</v>
      </c>
      <c r="O20" s="11">
        <f t="shared" si="9"/>
        <v>0.32500000000000001</v>
      </c>
      <c r="P20" s="87">
        <v>1.4999999999999999E-2</v>
      </c>
      <c r="Q20" s="50">
        <f t="shared" si="10"/>
        <v>9.3353153696914881E-2</v>
      </c>
      <c r="R20" s="18">
        <f t="shared" si="11"/>
        <v>1.5625</v>
      </c>
      <c r="S20" s="21">
        <f t="shared" si="12"/>
        <v>0.244140625</v>
      </c>
      <c r="T20" s="27">
        <f t="shared" si="13"/>
        <v>0.23647072106057179</v>
      </c>
      <c r="U20" s="18">
        <f t="shared" si="14"/>
        <v>0.56752973054537226</v>
      </c>
      <c r="V20" s="49">
        <f t="shared" si="15"/>
        <v>1.4002973054537231E-3</v>
      </c>
      <c r="W20" s="50">
        <f t="shared" si="16"/>
        <v>1.0992333847811725E-2</v>
      </c>
      <c r="X20" s="26">
        <f t="shared" si="17"/>
        <v>0.625</v>
      </c>
      <c r="Y20" s="27">
        <f t="shared" si="18"/>
        <v>3</v>
      </c>
      <c r="Z20" s="27">
        <f t="shared" si="19"/>
        <v>0.625</v>
      </c>
      <c r="AA20" s="27">
        <f t="shared" si="20"/>
        <v>3</v>
      </c>
      <c r="AB20" s="26">
        <f t="shared" si="21"/>
        <v>0.625</v>
      </c>
      <c r="AC20" s="27">
        <f t="shared" si="22"/>
        <v>3</v>
      </c>
      <c r="AD20" s="27">
        <f t="shared" si="23"/>
        <v>0.625</v>
      </c>
      <c r="AE20" s="18">
        <f t="shared" si="24"/>
        <v>3</v>
      </c>
      <c r="AF20" s="26">
        <f t="shared" si="25"/>
        <v>0.625</v>
      </c>
      <c r="AG20" s="27">
        <f t="shared" si="26"/>
        <v>3</v>
      </c>
      <c r="AH20" s="27">
        <f t="shared" si="27"/>
        <v>0.625</v>
      </c>
      <c r="AI20" s="18">
        <f t="shared" si="28"/>
        <v>3</v>
      </c>
      <c r="AJ20" s="27">
        <f t="shared" si="29"/>
        <v>22.5</v>
      </c>
      <c r="AK20" s="18">
        <f t="shared" si="30"/>
        <v>1.9980000000000001E-2</v>
      </c>
      <c r="AL20" s="11">
        <f t="shared" si="31"/>
        <v>0.59850206439318399</v>
      </c>
      <c r="AM20" s="26">
        <f t="shared" si="32"/>
        <v>0.59850206439318399</v>
      </c>
      <c r="AN20" s="11">
        <f t="shared" si="33"/>
        <v>0.52734375</v>
      </c>
      <c r="AO20" s="11">
        <f t="shared" si="34"/>
        <v>0.6417321142041148</v>
      </c>
      <c r="AP20" s="11">
        <f t="shared" si="35"/>
        <v>3.90625</v>
      </c>
      <c r="AQ20" s="26">
        <f t="shared" si="36"/>
        <v>3.7060292329938629</v>
      </c>
      <c r="AR20" s="18" t="str">
        <f t="shared" si="37"/>
        <v>CUMPLE</v>
      </c>
      <c r="AS20" s="26">
        <f t="shared" si="38"/>
        <v>4.1005205656202861</v>
      </c>
      <c r="AT20" s="18" t="str">
        <f t="shared" si="39"/>
        <v>CUMPLE</v>
      </c>
      <c r="AU20" s="92">
        <f t="shared" si="40"/>
        <v>6.9392272903824175</v>
      </c>
      <c r="AV20" s="56" t="str">
        <f t="shared" si="41"/>
        <v>CUMPLE</v>
      </c>
    </row>
    <row r="21" spans="1:48">
      <c r="A21" s="54">
        <v>140</v>
      </c>
      <c r="B21" s="10">
        <v>10</v>
      </c>
      <c r="C21" s="18">
        <f t="shared" si="0"/>
        <v>1.5393804002589988</v>
      </c>
      <c r="D21" s="60">
        <v>0.55000000000000004</v>
      </c>
      <c r="E21" s="11">
        <f t="shared" si="1"/>
        <v>0.69000000000000006</v>
      </c>
      <c r="F21" s="60">
        <f t="shared" si="2"/>
        <v>0.55000000000000004</v>
      </c>
      <c r="G21" s="11">
        <f t="shared" si="3"/>
        <v>0.69000000000000006</v>
      </c>
      <c r="H21" s="60">
        <f t="shared" si="4"/>
        <v>0.55000000000000004</v>
      </c>
      <c r="I21" s="11">
        <f t="shared" si="5"/>
        <v>0.69000000000000006</v>
      </c>
      <c r="J21" s="18">
        <f t="shared" si="6"/>
        <v>0.47610000000000008</v>
      </c>
      <c r="K21" s="73">
        <v>1</v>
      </c>
      <c r="L21" s="60">
        <v>0.15</v>
      </c>
      <c r="M21" s="11">
        <f t="shared" si="7"/>
        <v>0.44</v>
      </c>
      <c r="N21" s="60">
        <f t="shared" si="8"/>
        <v>0.15</v>
      </c>
      <c r="O21" s="11">
        <f t="shared" si="9"/>
        <v>0.44</v>
      </c>
      <c r="P21" s="87">
        <v>1.4999999999999999E-2</v>
      </c>
      <c r="Q21" s="50">
        <f t="shared" si="10"/>
        <v>0.17820619599741</v>
      </c>
      <c r="R21" s="18">
        <f t="shared" si="11"/>
        <v>1.9044000000000003</v>
      </c>
      <c r="S21" s="21">
        <f t="shared" si="12"/>
        <v>0.32850900000000011</v>
      </c>
      <c r="T21" s="27">
        <f t="shared" si="13"/>
        <v>0.31788727523821303</v>
      </c>
      <c r="U21" s="18">
        <f t="shared" si="14"/>
        <v>0.76292946057171129</v>
      </c>
      <c r="V21" s="49">
        <f t="shared" si="15"/>
        <v>2.6730929399611499E-3</v>
      </c>
      <c r="W21" s="50">
        <f t="shared" si="16"/>
        <v>2.0983779578695027E-2</v>
      </c>
      <c r="X21" s="26">
        <f t="shared" si="17"/>
        <v>0.69000000000000006</v>
      </c>
      <c r="Y21" s="27">
        <f t="shared" si="18"/>
        <v>3</v>
      </c>
      <c r="Z21" s="27">
        <f t="shared" si="19"/>
        <v>0.69000000000000006</v>
      </c>
      <c r="AA21" s="27">
        <f t="shared" si="20"/>
        <v>3</v>
      </c>
      <c r="AB21" s="26">
        <f t="shared" si="21"/>
        <v>0.69000000000000006</v>
      </c>
      <c r="AC21" s="27">
        <f t="shared" si="22"/>
        <v>3</v>
      </c>
      <c r="AD21" s="27">
        <f t="shared" si="23"/>
        <v>0.69000000000000006</v>
      </c>
      <c r="AE21" s="18">
        <f t="shared" si="24"/>
        <v>3</v>
      </c>
      <c r="AF21" s="26">
        <f t="shared" si="25"/>
        <v>0.69000000000000006</v>
      </c>
      <c r="AG21" s="27">
        <f t="shared" si="26"/>
        <v>3</v>
      </c>
      <c r="AH21" s="27">
        <f t="shared" si="27"/>
        <v>0.69000000000000006</v>
      </c>
      <c r="AI21" s="18">
        <f t="shared" si="28"/>
        <v>3</v>
      </c>
      <c r="AJ21" s="27">
        <f t="shared" si="29"/>
        <v>24.840000000000003</v>
      </c>
      <c r="AK21" s="18">
        <f t="shared" si="30"/>
        <v>2.2057920000000002E-2</v>
      </c>
      <c r="AL21" s="11">
        <f t="shared" si="31"/>
        <v>0.80597116015040626</v>
      </c>
      <c r="AM21" s="26">
        <f t="shared" si="32"/>
        <v>0.80597116015040626</v>
      </c>
      <c r="AN21" s="11">
        <f t="shared" si="33"/>
        <v>0.6213105000000001</v>
      </c>
      <c r="AO21" s="11">
        <f t="shared" si="34"/>
        <v>0.81355054628573154</v>
      </c>
      <c r="AP21" s="11">
        <f t="shared" si="35"/>
        <v>4.761000000000001</v>
      </c>
      <c r="AQ21" s="26">
        <f t="shared" si="36"/>
        <v>3.6212949998244888</v>
      </c>
      <c r="AR21" s="18" t="str">
        <f t="shared" si="37"/>
        <v>CUMPLE</v>
      </c>
      <c r="AS21" s="26">
        <f t="shared" si="38"/>
        <v>4.0199821039096237</v>
      </c>
      <c r="AT21" s="18" t="str">
        <f t="shared" si="39"/>
        <v>CUMPLE</v>
      </c>
      <c r="AU21" s="92">
        <f t="shared" si="40"/>
        <v>6.671423213689005</v>
      </c>
      <c r="AV21" s="56" t="str">
        <f t="shared" si="41"/>
        <v>CUMPLE</v>
      </c>
    </row>
    <row r="22" spans="1:48">
      <c r="A22" s="54">
        <v>160</v>
      </c>
      <c r="B22" s="10">
        <v>10</v>
      </c>
      <c r="C22" s="18">
        <f t="shared" si="0"/>
        <v>2.0106192982974678</v>
      </c>
      <c r="D22" s="60">
        <v>0.6</v>
      </c>
      <c r="E22" s="11">
        <f t="shared" si="1"/>
        <v>0.76</v>
      </c>
      <c r="F22" s="60">
        <f t="shared" si="2"/>
        <v>0.6</v>
      </c>
      <c r="G22" s="11">
        <f t="shared" si="3"/>
        <v>0.76</v>
      </c>
      <c r="H22" s="60">
        <f t="shared" si="4"/>
        <v>0.6</v>
      </c>
      <c r="I22" s="11">
        <f t="shared" si="5"/>
        <v>0.76</v>
      </c>
      <c r="J22" s="18">
        <f t="shared" si="6"/>
        <v>0.5776</v>
      </c>
      <c r="K22" s="73">
        <v>1</v>
      </c>
      <c r="L22" s="60">
        <v>0.22</v>
      </c>
      <c r="M22" s="11">
        <f t="shared" si="7"/>
        <v>0.6</v>
      </c>
      <c r="N22" s="60">
        <f t="shared" si="8"/>
        <v>0.22</v>
      </c>
      <c r="O22" s="11">
        <f t="shared" si="9"/>
        <v>0.6</v>
      </c>
      <c r="P22" s="87">
        <v>1.4999999999999999E-2</v>
      </c>
      <c r="Q22" s="50">
        <f t="shared" si="10"/>
        <v>0.33989380701702532</v>
      </c>
      <c r="R22" s="18">
        <f t="shared" si="11"/>
        <v>2.3104</v>
      </c>
      <c r="S22" s="21">
        <f t="shared" si="12"/>
        <v>0.43897600000000003</v>
      </c>
      <c r="T22" s="27">
        <f t="shared" si="13"/>
        <v>0.42369529333293926</v>
      </c>
      <c r="U22" s="18">
        <f t="shared" si="14"/>
        <v>1.0168687039990543</v>
      </c>
      <c r="V22" s="49">
        <f t="shared" si="15"/>
        <v>5.0984071052553792E-3</v>
      </c>
      <c r="W22" s="50">
        <f t="shared" si="16"/>
        <v>4.0022495776254725E-2</v>
      </c>
      <c r="X22" s="26">
        <f t="shared" si="17"/>
        <v>0.76</v>
      </c>
      <c r="Y22" s="27">
        <f t="shared" si="18"/>
        <v>3</v>
      </c>
      <c r="Z22" s="27">
        <f t="shared" si="19"/>
        <v>0.76</v>
      </c>
      <c r="AA22" s="27">
        <f t="shared" si="20"/>
        <v>3</v>
      </c>
      <c r="AB22" s="26">
        <f t="shared" si="21"/>
        <v>0.76</v>
      </c>
      <c r="AC22" s="27">
        <f t="shared" si="22"/>
        <v>3</v>
      </c>
      <c r="AD22" s="27">
        <f t="shared" si="23"/>
        <v>0.76</v>
      </c>
      <c r="AE22" s="18">
        <f t="shared" si="24"/>
        <v>3</v>
      </c>
      <c r="AF22" s="26">
        <f t="shared" si="25"/>
        <v>0.76</v>
      </c>
      <c r="AG22" s="27">
        <f t="shared" si="26"/>
        <v>3</v>
      </c>
      <c r="AH22" s="27">
        <f t="shared" si="27"/>
        <v>0.76</v>
      </c>
      <c r="AI22" s="18">
        <f t="shared" si="28"/>
        <v>3</v>
      </c>
      <c r="AJ22" s="27">
        <f t="shared" si="29"/>
        <v>27.360000000000003</v>
      </c>
      <c r="AK22" s="18">
        <f t="shared" si="30"/>
        <v>2.4295680000000004E-2</v>
      </c>
      <c r="AL22" s="11">
        <f t="shared" si="31"/>
        <v>1.081186879775309</v>
      </c>
      <c r="AM22" s="26">
        <f t="shared" si="32"/>
        <v>1.081186879775309</v>
      </c>
      <c r="AN22" s="11">
        <f t="shared" si="33"/>
        <v>0.72777599999999998</v>
      </c>
      <c r="AO22" s="11">
        <f t="shared" si="34"/>
        <v>1.0311088414719261</v>
      </c>
      <c r="AP22" s="11">
        <f t="shared" si="35"/>
        <v>5.7759999999999998</v>
      </c>
      <c r="AQ22" s="26">
        <f t="shared" si="36"/>
        <v>3.385578188390006</v>
      </c>
      <c r="AR22" s="18" t="str">
        <f t="shared" si="37"/>
        <v>CUMPLE</v>
      </c>
      <c r="AS22" s="26">
        <f t="shared" si="38"/>
        <v>3.7724510483899305</v>
      </c>
      <c r="AT22" s="18" t="str">
        <f t="shared" si="39"/>
        <v>CUMPLE</v>
      </c>
      <c r="AU22" s="92">
        <f t="shared" si="40"/>
        <v>6.3859795737958267</v>
      </c>
      <c r="AV22" s="56" t="str">
        <f t="shared" si="41"/>
        <v>CUMPLE</v>
      </c>
    </row>
    <row r="23" spans="1:48">
      <c r="A23" s="54">
        <v>200</v>
      </c>
      <c r="B23" s="10">
        <v>10</v>
      </c>
      <c r="C23" s="18">
        <f t="shared" si="0"/>
        <v>3.1415926535897936</v>
      </c>
      <c r="D23" s="60">
        <v>0.8</v>
      </c>
      <c r="E23" s="11">
        <f t="shared" si="1"/>
        <v>1</v>
      </c>
      <c r="F23" s="60">
        <f t="shared" si="2"/>
        <v>0.8</v>
      </c>
      <c r="G23" s="11">
        <f t="shared" si="3"/>
        <v>1</v>
      </c>
      <c r="H23" s="60">
        <v>0.65</v>
      </c>
      <c r="I23" s="11">
        <f t="shared" si="5"/>
        <v>0.85000000000000009</v>
      </c>
      <c r="J23" s="18">
        <f t="shared" si="6"/>
        <v>1</v>
      </c>
      <c r="K23" s="73">
        <v>2</v>
      </c>
      <c r="L23" s="60">
        <v>0.3</v>
      </c>
      <c r="M23" s="11">
        <f t="shared" si="7"/>
        <v>0.8</v>
      </c>
      <c r="N23" s="60">
        <f t="shared" si="8"/>
        <v>0.3</v>
      </c>
      <c r="O23" s="11">
        <f t="shared" si="9"/>
        <v>0.8</v>
      </c>
      <c r="P23" s="87">
        <v>1.4999999999999999E-2</v>
      </c>
      <c r="Q23" s="50">
        <f t="shared" si="10"/>
        <v>0.60858407346410215</v>
      </c>
      <c r="R23" s="18">
        <f t="shared" si="11"/>
        <v>3.4000000000000004</v>
      </c>
      <c r="S23" s="21">
        <f t="shared" si="12"/>
        <v>0.85000000000000009</v>
      </c>
      <c r="T23" s="27">
        <f t="shared" si="13"/>
        <v>0.81858407346410211</v>
      </c>
      <c r="U23" s="18">
        <f t="shared" si="14"/>
        <v>1.964601776313845</v>
      </c>
      <c r="V23" s="49">
        <f t="shared" si="15"/>
        <v>1.8257522203923064E-2</v>
      </c>
      <c r="W23" s="50">
        <f t="shared" si="16"/>
        <v>0.14332154930079605</v>
      </c>
      <c r="X23" s="26">
        <f t="shared" si="17"/>
        <v>1</v>
      </c>
      <c r="Y23" s="27">
        <f t="shared" si="18"/>
        <v>4</v>
      </c>
      <c r="Z23" s="27">
        <f t="shared" si="19"/>
        <v>1</v>
      </c>
      <c r="AA23" s="27">
        <f t="shared" si="20"/>
        <v>4</v>
      </c>
      <c r="AB23" s="26">
        <f t="shared" si="21"/>
        <v>1</v>
      </c>
      <c r="AC23" s="27">
        <f t="shared" si="22"/>
        <v>4</v>
      </c>
      <c r="AD23" s="27">
        <f t="shared" si="23"/>
        <v>0.85000000000000009</v>
      </c>
      <c r="AE23" s="18">
        <f t="shared" si="24"/>
        <v>4</v>
      </c>
      <c r="AF23" s="26">
        <f t="shared" si="25"/>
        <v>1</v>
      </c>
      <c r="AG23" s="27">
        <f t="shared" si="26"/>
        <v>4</v>
      </c>
      <c r="AH23" s="27">
        <f t="shared" si="27"/>
        <v>0.85000000000000009</v>
      </c>
      <c r="AI23" s="18">
        <f t="shared" si="28"/>
        <v>4</v>
      </c>
      <c r="AJ23" s="27">
        <f t="shared" si="29"/>
        <v>45.6</v>
      </c>
      <c r="AK23" s="18">
        <f t="shared" si="30"/>
        <v>4.0492800000000002E-2</v>
      </c>
      <c r="AL23" s="11">
        <f t="shared" si="31"/>
        <v>2.148416125614641</v>
      </c>
      <c r="AM23" s="26">
        <f t="shared" si="32"/>
        <v>2.148416125614641</v>
      </c>
      <c r="AN23" s="11">
        <f t="shared" si="33"/>
        <v>1.2149999999999999</v>
      </c>
      <c r="AO23" s="11">
        <f t="shared" si="34"/>
        <v>1.9171471916003451</v>
      </c>
      <c r="AP23" s="11">
        <f t="shared" si="35"/>
        <v>8.5</v>
      </c>
      <c r="AQ23" s="26">
        <f t="shared" si="36"/>
        <v>3.3158809369180999</v>
      </c>
      <c r="AR23" s="18" t="str">
        <f t="shared" si="37"/>
        <v>CUMPLE</v>
      </c>
      <c r="AS23" s="26">
        <f t="shared" si="38"/>
        <v>3.9651735668364818</v>
      </c>
      <c r="AT23" s="18" t="str">
        <f t="shared" si="39"/>
        <v>CUMPLE</v>
      </c>
      <c r="AU23" s="92">
        <f t="shared" si="40"/>
        <v>5.9463352891980144</v>
      </c>
      <c r="AV23" s="56" t="str">
        <f t="shared" si="41"/>
        <v>CUMPLE</v>
      </c>
    </row>
    <row r="24" spans="1:48">
      <c r="A24" s="54">
        <v>225</v>
      </c>
      <c r="B24" s="10">
        <v>10</v>
      </c>
      <c r="C24" s="18">
        <f t="shared" ref="C24:C28" si="42">(B24/0.0001)*(PI()*(A24/1000)^2/4)/1000</f>
        <v>3.9760782021995822</v>
      </c>
      <c r="D24" s="126">
        <v>0.8</v>
      </c>
      <c r="E24" s="11">
        <f t="shared" ref="E24:E28" si="43">+D24+(A24/1000)</f>
        <v>1.0250000000000001</v>
      </c>
      <c r="F24" s="126">
        <f t="shared" ref="F24:F28" si="44">+D24</f>
        <v>0.8</v>
      </c>
      <c r="G24" s="11">
        <f t="shared" ref="G24:G28" si="45">+F24+(A24/1000)</f>
        <v>1.0250000000000001</v>
      </c>
      <c r="H24" s="126">
        <v>0.65</v>
      </c>
      <c r="I24" s="11">
        <f t="shared" ref="I24:I28" si="46">+H24+(A24/1000)</f>
        <v>0.875</v>
      </c>
      <c r="J24" s="18">
        <f t="shared" ref="J24:J28" si="47">+E24*G24</f>
        <v>1.0506250000000004</v>
      </c>
      <c r="K24" s="73">
        <v>2</v>
      </c>
      <c r="L24" s="126">
        <v>0.3</v>
      </c>
      <c r="M24" s="11">
        <f t="shared" ref="M24:M28" si="48">+L24*2+(A24/1000)</f>
        <v>0.82499999999999996</v>
      </c>
      <c r="N24" s="126">
        <f t="shared" ref="N24:N28" si="49">+L24</f>
        <v>0.3</v>
      </c>
      <c r="O24" s="11">
        <f t="shared" ref="O24:O28" si="50">+N24*2+(A24/1000)</f>
        <v>0.82499999999999996</v>
      </c>
      <c r="P24" s="128">
        <v>1.4999999999999999E-2</v>
      </c>
      <c r="Q24" s="50">
        <f t="shared" ref="Q24:Q28" si="51">+M24*O24-PI()*(A24/1000)^2/4</f>
        <v>0.64086421797800408</v>
      </c>
      <c r="R24" s="18">
        <f t="shared" ref="R24:R28" si="52">+(E24*I24)*2+(G24*I24)*2</f>
        <v>3.5875000000000004</v>
      </c>
      <c r="S24" s="21">
        <f t="shared" ref="S24:S28" si="53">+J24*I24</f>
        <v>0.91929687500000035</v>
      </c>
      <c r="T24" s="27">
        <f t="shared" ref="T24:T28" si="54">+S24-PI()*(A24/1000)^2/4*E24</f>
        <v>0.87854207342745461</v>
      </c>
      <c r="U24" s="18">
        <f t="shared" ref="U24:U28" si="55">+T24*$D$2</f>
        <v>2.1085009762258911</v>
      </c>
      <c r="V24" s="49">
        <f t="shared" ref="V24:V28" si="56">+K24*Q24*P24</f>
        <v>1.9225926539340122E-2</v>
      </c>
      <c r="W24" s="50">
        <f t="shared" ref="W24:W28" si="57">+V24*$D$3</f>
        <v>0.15092352333381995</v>
      </c>
      <c r="X24" s="26">
        <f t="shared" ref="X24:X28" si="58">+E24</f>
        <v>1.0250000000000001</v>
      </c>
      <c r="Y24" s="27">
        <f t="shared" ref="Y24:Y28" si="59">+ROUND((G24-2*($I$2/1000))/($I$4/1000),0)+1</f>
        <v>5</v>
      </c>
      <c r="Z24" s="27">
        <f t="shared" ref="Z24:Z28" si="60">+G24</f>
        <v>1.0250000000000001</v>
      </c>
      <c r="AA24" s="27">
        <f t="shared" ref="AA24:AA28" si="61">+ROUND((E24-2*($I$2/1000))/($I$4/1000),0)+1</f>
        <v>5</v>
      </c>
      <c r="AB24" s="26">
        <f t="shared" ref="AB24:AB28" si="62">+E24</f>
        <v>1.0250000000000001</v>
      </c>
      <c r="AC24" s="27">
        <f t="shared" ref="AC24:AC28" si="63">+ROUND((I24-2*($I$2/1000))/($I$4/1000),0)+1</f>
        <v>4</v>
      </c>
      <c r="AD24" s="27">
        <f t="shared" ref="AD24:AD28" si="64">+I24</f>
        <v>0.875</v>
      </c>
      <c r="AE24" s="18">
        <f t="shared" ref="AE24:AE28" si="65">+ROUND((E24-2*($I$2/1000))/($I$4/1000),0)+1</f>
        <v>5</v>
      </c>
      <c r="AF24" s="26">
        <f t="shared" ref="AF24:AF28" si="66">+G24</f>
        <v>1.0250000000000001</v>
      </c>
      <c r="AG24" s="27">
        <f t="shared" ref="AG24:AG28" si="67">+ROUND((I24-2*($I$2/1000))/($I$4/1000),0)+1</f>
        <v>4</v>
      </c>
      <c r="AH24" s="27">
        <f t="shared" ref="AH24:AH28" si="68">+I24</f>
        <v>0.875</v>
      </c>
      <c r="AI24" s="18">
        <f t="shared" ref="AI24:AI28" si="69">+ROUND((E24-2*($I$2/1000))/($I$4/1000),0)+1</f>
        <v>5</v>
      </c>
      <c r="AJ24" s="27">
        <f t="shared" ref="AJ24:AJ28" si="70">+(X24*Y24+Z24*AA24)*2+(AB24*AC24+AD24*AE24)*2+(AF24*AG24+AH24*AI24)*2</f>
        <v>54.400000000000006</v>
      </c>
      <c r="AK24" s="18">
        <f t="shared" ref="AK24:AK28" si="71">+AJ24*$I$5/1000</f>
        <v>4.8307200000000008E-2</v>
      </c>
      <c r="AL24" s="11">
        <f t="shared" ref="AL24:AL28" si="72">+U24+W24+AK24</f>
        <v>2.307731699559711</v>
      </c>
      <c r="AM24" s="26">
        <f t="shared" ref="AM24:AM28" si="73">+AL24</f>
        <v>2.307731699559711</v>
      </c>
      <c r="AN24" s="11">
        <f t="shared" ref="AN24:AN28" si="74">+J24*($D$9-(I24/2-A24/2000))*$D$4</f>
        <v>1.2765093750000007</v>
      </c>
      <c r="AO24" s="11">
        <f t="shared" ref="AO24:AO28" si="75">+$D$5*(AM24+AN24)</f>
        <v>2.0430174124990357</v>
      </c>
      <c r="AP24" s="11">
        <f t="shared" ref="AP24:AP28" si="76">+(G24*I24)*$D$6</f>
        <v>8.96875</v>
      </c>
      <c r="AQ24" s="26">
        <f t="shared" ref="AQ24:AQ28" si="77">+(AO24+AP24)/C24</f>
        <v>2.7695047362014367</v>
      </c>
      <c r="AR24" s="18" t="str">
        <f t="shared" ref="AR24:AR28" si="78">+IF(AQ24&gt;$N$2,"CUMPLE",IF(AQ24=$N$2,"CUMPLE","NO CUMPLE"))</f>
        <v>CUMPLE</v>
      </c>
      <c r="AS24" s="26">
        <f t="shared" ref="AS24:AS28" si="79">+(AM24*G24/2+AN24*G24/2+AP24*I24/2)/(C24*I24/2)</f>
        <v>3.3116633355809793</v>
      </c>
      <c r="AT24" s="18" t="str">
        <f t="shared" ref="AT24:AT28" si="80">+IF(AS24&gt;$N$3,"CUMPLE",IF(AS24=$N$3,"CUMPLE","NO CUMPLE"))</f>
        <v>CUMPLE</v>
      </c>
      <c r="AU24" s="92">
        <f t="shared" ref="AU24:AU28" si="81">+$D$7/((AM24+AN24)/J24)</f>
        <v>5.8624683895128857</v>
      </c>
      <c r="AV24" s="56" t="str">
        <f t="shared" ref="AV24:AV28" si="82">+IF(AU24&gt;$N$4,"CUMPLE",IF(AU24=$N$4,"CUMPLE","NO CUMPLE"))</f>
        <v>CUMPLE</v>
      </c>
    </row>
    <row r="25" spans="1:48">
      <c r="A25" s="54">
        <v>315</v>
      </c>
      <c r="B25" s="10">
        <v>10</v>
      </c>
      <c r="C25" s="18">
        <f t="shared" si="42"/>
        <v>7.793113276311181</v>
      </c>
      <c r="D25" s="126">
        <v>1</v>
      </c>
      <c r="E25" s="11">
        <f t="shared" si="43"/>
        <v>1.3149999999999999</v>
      </c>
      <c r="F25" s="126">
        <f t="shared" si="44"/>
        <v>1</v>
      </c>
      <c r="G25" s="11">
        <f t="shared" si="45"/>
        <v>1.3149999999999999</v>
      </c>
      <c r="H25" s="126">
        <v>0.65</v>
      </c>
      <c r="I25" s="11">
        <f t="shared" si="46"/>
        <v>0.96500000000000008</v>
      </c>
      <c r="J25" s="18">
        <f t="shared" si="47"/>
        <v>1.7292249999999998</v>
      </c>
      <c r="K25" s="73">
        <v>2</v>
      </c>
      <c r="L25" s="126">
        <v>0.3</v>
      </c>
      <c r="M25" s="11">
        <f t="shared" si="48"/>
        <v>0.91500000000000004</v>
      </c>
      <c r="N25" s="126">
        <f t="shared" si="49"/>
        <v>0.3</v>
      </c>
      <c r="O25" s="11">
        <f t="shared" si="50"/>
        <v>0.91500000000000004</v>
      </c>
      <c r="P25" s="128">
        <v>1.4999999999999999E-2</v>
      </c>
      <c r="Q25" s="50">
        <f t="shared" si="51"/>
        <v>0.7592938672368883</v>
      </c>
      <c r="R25" s="18">
        <f t="shared" si="52"/>
        <v>5.0758999999999999</v>
      </c>
      <c r="S25" s="21">
        <f t="shared" si="53"/>
        <v>1.668702125</v>
      </c>
      <c r="T25" s="27">
        <f t="shared" si="54"/>
        <v>1.566222685416508</v>
      </c>
      <c r="U25" s="18">
        <f t="shared" si="55"/>
        <v>3.7589344449996189</v>
      </c>
      <c r="V25" s="49">
        <f t="shared" si="56"/>
        <v>2.277881601710665E-2</v>
      </c>
      <c r="W25" s="50">
        <f t="shared" si="57"/>
        <v>0.1788137057342872</v>
      </c>
      <c r="X25" s="26">
        <f t="shared" si="58"/>
        <v>1.3149999999999999</v>
      </c>
      <c r="Y25" s="27">
        <f t="shared" si="59"/>
        <v>6</v>
      </c>
      <c r="Z25" s="27">
        <f t="shared" si="60"/>
        <v>1.3149999999999999</v>
      </c>
      <c r="AA25" s="27">
        <f t="shared" si="61"/>
        <v>6</v>
      </c>
      <c r="AB25" s="26">
        <f t="shared" si="62"/>
        <v>1.3149999999999999</v>
      </c>
      <c r="AC25" s="27">
        <f t="shared" si="63"/>
        <v>4</v>
      </c>
      <c r="AD25" s="27">
        <f t="shared" si="64"/>
        <v>0.96500000000000008</v>
      </c>
      <c r="AE25" s="18">
        <f t="shared" si="65"/>
        <v>6</v>
      </c>
      <c r="AF25" s="26">
        <f t="shared" si="66"/>
        <v>1.3149999999999999</v>
      </c>
      <c r="AG25" s="27">
        <f t="shared" si="67"/>
        <v>4</v>
      </c>
      <c r="AH25" s="27">
        <f t="shared" si="68"/>
        <v>0.96500000000000008</v>
      </c>
      <c r="AI25" s="18">
        <f t="shared" si="69"/>
        <v>6</v>
      </c>
      <c r="AJ25" s="27">
        <f t="shared" si="70"/>
        <v>75.759999999999991</v>
      </c>
      <c r="AK25" s="18">
        <f t="shared" si="71"/>
        <v>6.7274879999999995E-2</v>
      </c>
      <c r="AL25" s="11">
        <f t="shared" si="72"/>
        <v>4.0050230307339065</v>
      </c>
      <c r="AM25" s="26">
        <f t="shared" si="73"/>
        <v>4.0050230307339065</v>
      </c>
      <c r="AN25" s="11">
        <f t="shared" si="74"/>
        <v>2.1010083749999993</v>
      </c>
      <c r="AO25" s="11">
        <f t="shared" si="75"/>
        <v>3.480437901268326</v>
      </c>
      <c r="AP25" s="11">
        <f t="shared" si="76"/>
        <v>12.68975</v>
      </c>
      <c r="AQ25" s="26">
        <f t="shared" si="77"/>
        <v>2.0749329989108514</v>
      </c>
      <c r="AR25" s="18" t="str">
        <f t="shared" si="78"/>
        <v>CUMPLE</v>
      </c>
      <c r="AS25" s="26">
        <f t="shared" si="79"/>
        <v>2.6960219171000501</v>
      </c>
      <c r="AT25" s="18" t="str">
        <f t="shared" si="80"/>
        <v>CUMPLE</v>
      </c>
      <c r="AU25" s="92">
        <f t="shared" si="81"/>
        <v>5.6639898654178573</v>
      </c>
      <c r="AV25" s="56" t="str">
        <f t="shared" si="82"/>
        <v>CUMPLE</v>
      </c>
    </row>
    <row r="26" spans="1:48">
      <c r="A26" s="166">
        <v>400</v>
      </c>
      <c r="B26" s="10">
        <v>10</v>
      </c>
      <c r="C26" s="18">
        <f t="shared" si="42"/>
        <v>12.566370614359174</v>
      </c>
      <c r="D26" s="126">
        <v>1.25</v>
      </c>
      <c r="E26" s="11">
        <f t="shared" si="43"/>
        <v>1.65</v>
      </c>
      <c r="F26" s="126">
        <f t="shared" si="44"/>
        <v>1.25</v>
      </c>
      <c r="G26" s="11">
        <f t="shared" si="45"/>
        <v>1.65</v>
      </c>
      <c r="H26" s="126">
        <v>0.65</v>
      </c>
      <c r="I26" s="11">
        <f t="shared" si="46"/>
        <v>1.05</v>
      </c>
      <c r="J26" s="18">
        <f t="shared" si="47"/>
        <v>2.7224999999999997</v>
      </c>
      <c r="K26" s="73">
        <v>2</v>
      </c>
      <c r="L26" s="126">
        <v>0.3</v>
      </c>
      <c r="M26" s="11">
        <f t="shared" si="48"/>
        <v>1</v>
      </c>
      <c r="N26" s="126">
        <f t="shared" si="49"/>
        <v>0.3</v>
      </c>
      <c r="O26" s="11">
        <f t="shared" si="50"/>
        <v>1</v>
      </c>
      <c r="P26" s="128">
        <v>1.4999999999999999E-2</v>
      </c>
      <c r="Q26" s="50">
        <f t="shared" si="51"/>
        <v>0.87433629385640832</v>
      </c>
      <c r="R26" s="18">
        <f t="shared" si="52"/>
        <v>6.93</v>
      </c>
      <c r="S26" s="21">
        <f t="shared" si="53"/>
        <v>2.858625</v>
      </c>
      <c r="T26" s="27">
        <f t="shared" si="54"/>
        <v>2.6512798848630736</v>
      </c>
      <c r="U26" s="18">
        <f t="shared" si="55"/>
        <v>6.3630717236713767</v>
      </c>
      <c r="V26" s="49">
        <f t="shared" si="56"/>
        <v>2.6230088815692248E-2</v>
      </c>
      <c r="W26" s="50">
        <f t="shared" si="57"/>
        <v>0.20590619720318415</v>
      </c>
      <c r="X26" s="26">
        <f t="shared" si="58"/>
        <v>1.65</v>
      </c>
      <c r="Y26" s="27">
        <f t="shared" si="59"/>
        <v>7</v>
      </c>
      <c r="Z26" s="27">
        <f t="shared" si="60"/>
        <v>1.65</v>
      </c>
      <c r="AA26" s="27">
        <f t="shared" si="61"/>
        <v>7</v>
      </c>
      <c r="AB26" s="26">
        <f t="shared" si="62"/>
        <v>1.65</v>
      </c>
      <c r="AC26" s="27">
        <f t="shared" si="63"/>
        <v>5</v>
      </c>
      <c r="AD26" s="27">
        <f t="shared" si="64"/>
        <v>1.05</v>
      </c>
      <c r="AE26" s="18">
        <f t="shared" si="65"/>
        <v>7</v>
      </c>
      <c r="AF26" s="26">
        <f t="shared" si="66"/>
        <v>1.65</v>
      </c>
      <c r="AG26" s="27">
        <f t="shared" si="67"/>
        <v>5</v>
      </c>
      <c r="AH26" s="27">
        <f t="shared" si="68"/>
        <v>1.05</v>
      </c>
      <c r="AI26" s="18">
        <f t="shared" si="69"/>
        <v>7</v>
      </c>
      <c r="AJ26" s="27">
        <f t="shared" si="70"/>
        <v>108.60000000000001</v>
      </c>
      <c r="AK26" s="18">
        <f t="shared" si="71"/>
        <v>9.6436800000000003E-2</v>
      </c>
      <c r="AL26" s="11">
        <f t="shared" si="72"/>
        <v>6.6654147208745611</v>
      </c>
      <c r="AM26" s="26">
        <f t="shared" si="73"/>
        <v>6.6654147208745611</v>
      </c>
      <c r="AN26" s="11">
        <f t="shared" si="74"/>
        <v>3.3078374999999998</v>
      </c>
      <c r="AO26" s="11">
        <f t="shared" si="75"/>
        <v>5.684753765898499</v>
      </c>
      <c r="AP26" s="11">
        <f t="shared" si="76"/>
        <v>17.324999999999999</v>
      </c>
      <c r="AQ26" s="26">
        <f t="shared" si="77"/>
        <v>1.8310580255850497</v>
      </c>
      <c r="AR26" s="18" t="str">
        <f t="shared" si="78"/>
        <v>CUMPLE</v>
      </c>
      <c r="AS26" s="26">
        <f t="shared" si="79"/>
        <v>2.6258380006905786</v>
      </c>
      <c r="AT26" s="18" t="str">
        <f t="shared" si="80"/>
        <v>CUMPLE</v>
      </c>
      <c r="AU26" s="92">
        <f t="shared" si="81"/>
        <v>5.4596032261204801</v>
      </c>
      <c r="AV26" s="56" t="str">
        <f t="shared" si="82"/>
        <v>CUMPLE</v>
      </c>
    </row>
    <row r="27" spans="1:48">
      <c r="A27" s="166">
        <v>500</v>
      </c>
      <c r="B27" s="10">
        <v>10</v>
      </c>
      <c r="C27" s="18">
        <f t="shared" si="42"/>
        <v>19.634954084936204</v>
      </c>
      <c r="D27" s="126">
        <v>1.5</v>
      </c>
      <c r="E27" s="11">
        <f t="shared" si="43"/>
        <v>2</v>
      </c>
      <c r="F27" s="126">
        <f t="shared" si="44"/>
        <v>1.5</v>
      </c>
      <c r="G27" s="11">
        <f t="shared" si="45"/>
        <v>2</v>
      </c>
      <c r="H27" s="126">
        <v>0.65</v>
      </c>
      <c r="I27" s="11">
        <f t="shared" si="46"/>
        <v>1.1499999999999999</v>
      </c>
      <c r="J27" s="18">
        <f t="shared" si="47"/>
        <v>4</v>
      </c>
      <c r="K27" s="73">
        <v>2</v>
      </c>
      <c r="L27" s="126">
        <v>0.3</v>
      </c>
      <c r="M27" s="11">
        <f t="shared" si="48"/>
        <v>1.1000000000000001</v>
      </c>
      <c r="N27" s="126">
        <f t="shared" si="49"/>
        <v>0.3</v>
      </c>
      <c r="O27" s="11">
        <f t="shared" si="50"/>
        <v>1.1000000000000001</v>
      </c>
      <c r="P27" s="128">
        <v>1.4999999999999999E-2</v>
      </c>
      <c r="Q27" s="50">
        <f t="shared" si="51"/>
        <v>1.0136504591506381</v>
      </c>
      <c r="R27" s="18">
        <f t="shared" si="52"/>
        <v>9.1999999999999993</v>
      </c>
      <c r="S27" s="21">
        <f t="shared" si="53"/>
        <v>4.5999999999999996</v>
      </c>
      <c r="T27" s="27">
        <f t="shared" si="54"/>
        <v>4.2073009183012751</v>
      </c>
      <c r="U27" s="18">
        <f t="shared" si="55"/>
        <v>10.097522203923059</v>
      </c>
      <c r="V27" s="49">
        <f t="shared" si="56"/>
        <v>3.0409513774519142E-2</v>
      </c>
      <c r="W27" s="50">
        <f t="shared" si="57"/>
        <v>0.23871468312997526</v>
      </c>
      <c r="X27" s="26">
        <f t="shared" si="58"/>
        <v>2</v>
      </c>
      <c r="Y27" s="27">
        <f t="shared" si="59"/>
        <v>8</v>
      </c>
      <c r="Z27" s="27">
        <f t="shared" si="60"/>
        <v>2</v>
      </c>
      <c r="AA27" s="27">
        <f t="shared" si="61"/>
        <v>8</v>
      </c>
      <c r="AB27" s="26">
        <f t="shared" si="62"/>
        <v>2</v>
      </c>
      <c r="AC27" s="27">
        <f t="shared" si="63"/>
        <v>5</v>
      </c>
      <c r="AD27" s="27">
        <f t="shared" si="64"/>
        <v>1.1499999999999999</v>
      </c>
      <c r="AE27" s="18">
        <f t="shared" si="65"/>
        <v>8</v>
      </c>
      <c r="AF27" s="26">
        <f t="shared" si="66"/>
        <v>2</v>
      </c>
      <c r="AG27" s="27">
        <f t="shared" si="67"/>
        <v>5</v>
      </c>
      <c r="AH27" s="27">
        <f t="shared" si="68"/>
        <v>1.1499999999999999</v>
      </c>
      <c r="AI27" s="18">
        <f t="shared" si="69"/>
        <v>8</v>
      </c>
      <c r="AJ27" s="27">
        <f t="shared" si="70"/>
        <v>140.80000000000001</v>
      </c>
      <c r="AK27" s="18">
        <f t="shared" si="71"/>
        <v>0.12503040000000001</v>
      </c>
      <c r="AL27" s="11">
        <f t="shared" si="72"/>
        <v>10.461267287053035</v>
      </c>
      <c r="AM27" s="26">
        <f t="shared" si="73"/>
        <v>10.461267287053035</v>
      </c>
      <c r="AN27" s="11">
        <f t="shared" si="74"/>
        <v>4.8600000000000003</v>
      </c>
      <c r="AO27" s="11">
        <f t="shared" si="75"/>
        <v>8.7331223536202298</v>
      </c>
      <c r="AP27" s="11">
        <f t="shared" si="76"/>
        <v>23</v>
      </c>
      <c r="AQ27" s="26">
        <f t="shared" si="77"/>
        <v>1.6161546503419457</v>
      </c>
      <c r="AR27" s="18" t="str">
        <f t="shared" si="78"/>
        <v>CUMPLE</v>
      </c>
      <c r="AS27" s="26">
        <f t="shared" si="79"/>
        <v>2.5284338340490908</v>
      </c>
      <c r="AT27" s="18" t="str">
        <f t="shared" si="80"/>
        <v>CUMPLE</v>
      </c>
      <c r="AU27" s="92">
        <f t="shared" si="81"/>
        <v>5.2215001867112241</v>
      </c>
      <c r="AV27" s="56" t="str">
        <f t="shared" si="82"/>
        <v>CUMPLE</v>
      </c>
    </row>
    <row r="28" spans="1:48">
      <c r="A28" s="166">
        <v>630</v>
      </c>
      <c r="B28" s="10">
        <v>10</v>
      </c>
      <c r="C28" s="18">
        <f t="shared" si="42"/>
        <v>31.172453105244724</v>
      </c>
      <c r="D28" s="126">
        <v>1.6</v>
      </c>
      <c r="E28" s="11">
        <f t="shared" si="43"/>
        <v>2.23</v>
      </c>
      <c r="F28" s="126">
        <f t="shared" si="44"/>
        <v>1.6</v>
      </c>
      <c r="G28" s="11">
        <f t="shared" si="45"/>
        <v>2.23</v>
      </c>
      <c r="H28" s="126">
        <v>1</v>
      </c>
      <c r="I28" s="11">
        <f t="shared" si="46"/>
        <v>1.63</v>
      </c>
      <c r="J28" s="18">
        <f t="shared" si="47"/>
        <v>4.9729000000000001</v>
      </c>
      <c r="K28" s="73">
        <v>2</v>
      </c>
      <c r="L28" s="126">
        <v>0.3</v>
      </c>
      <c r="M28" s="11">
        <f t="shared" si="48"/>
        <v>1.23</v>
      </c>
      <c r="N28" s="126">
        <f t="shared" si="49"/>
        <v>0.3</v>
      </c>
      <c r="O28" s="11">
        <f t="shared" si="50"/>
        <v>1.23</v>
      </c>
      <c r="P28" s="128">
        <v>1.4999999999999999E-2</v>
      </c>
      <c r="Q28" s="50">
        <f t="shared" si="51"/>
        <v>1.2011754689475527</v>
      </c>
      <c r="R28" s="18">
        <f t="shared" si="52"/>
        <v>14.539599999999998</v>
      </c>
      <c r="S28" s="21">
        <f t="shared" si="53"/>
        <v>8.1058269999999997</v>
      </c>
      <c r="T28" s="27">
        <f t="shared" si="54"/>
        <v>7.4106812957530419</v>
      </c>
      <c r="U28" s="18">
        <f t="shared" si="55"/>
        <v>17.785635109807298</v>
      </c>
      <c r="V28" s="49">
        <f t="shared" si="56"/>
        <v>3.6035264068426581E-2</v>
      </c>
      <c r="W28" s="50">
        <f t="shared" si="57"/>
        <v>0.28287682293714866</v>
      </c>
      <c r="X28" s="26">
        <f t="shared" si="58"/>
        <v>2.23</v>
      </c>
      <c r="Y28" s="27">
        <f t="shared" si="59"/>
        <v>9</v>
      </c>
      <c r="Z28" s="27">
        <f t="shared" si="60"/>
        <v>2.23</v>
      </c>
      <c r="AA28" s="27">
        <f t="shared" si="61"/>
        <v>9</v>
      </c>
      <c r="AB28" s="26">
        <f t="shared" si="62"/>
        <v>2.23</v>
      </c>
      <c r="AC28" s="27">
        <f t="shared" si="63"/>
        <v>7</v>
      </c>
      <c r="AD28" s="27">
        <f t="shared" si="64"/>
        <v>1.63</v>
      </c>
      <c r="AE28" s="18">
        <f t="shared" si="65"/>
        <v>9</v>
      </c>
      <c r="AF28" s="26">
        <f t="shared" si="66"/>
        <v>2.23</v>
      </c>
      <c r="AG28" s="27">
        <f t="shared" si="67"/>
        <v>7</v>
      </c>
      <c r="AH28" s="27">
        <f t="shared" si="68"/>
        <v>1.63</v>
      </c>
      <c r="AI28" s="18">
        <f t="shared" si="69"/>
        <v>9</v>
      </c>
      <c r="AJ28" s="27">
        <f t="shared" si="70"/>
        <v>201.4</v>
      </c>
      <c r="AK28" s="18">
        <f t="shared" si="71"/>
        <v>0.17884320000000001</v>
      </c>
      <c r="AL28" s="11">
        <f t="shared" si="72"/>
        <v>18.247355132744445</v>
      </c>
      <c r="AM28" s="26">
        <f t="shared" si="73"/>
        <v>18.247355132744445</v>
      </c>
      <c r="AN28" s="11">
        <f t="shared" si="74"/>
        <v>4.4756100000000005</v>
      </c>
      <c r="AO28" s="11">
        <f t="shared" si="75"/>
        <v>12.952090125664332</v>
      </c>
      <c r="AP28" s="11">
        <f t="shared" si="76"/>
        <v>36.348999999999997</v>
      </c>
      <c r="AQ28" s="26">
        <f t="shared" si="77"/>
        <v>1.5815595249823149</v>
      </c>
      <c r="AR28" s="18" t="str">
        <f t="shared" si="78"/>
        <v>CUMPLE</v>
      </c>
      <c r="AS28" s="26">
        <f t="shared" si="79"/>
        <v>2.1633281971431821</v>
      </c>
      <c r="AT28" s="18" t="str">
        <f t="shared" si="80"/>
        <v>CUMPLE</v>
      </c>
      <c r="AU28" s="92">
        <f t="shared" si="81"/>
        <v>4.3769815875252194</v>
      </c>
      <c r="AV28" s="56" t="str">
        <f t="shared" si="82"/>
        <v>CUMPLE</v>
      </c>
    </row>
  </sheetData>
  <mergeCells count="13">
    <mergeCell ref="AQ16:AR16"/>
    <mergeCell ref="AS16:AT16"/>
    <mergeCell ref="AQ15:AV15"/>
    <mergeCell ref="AU16:AV16"/>
    <mergeCell ref="AM15:AP15"/>
    <mergeCell ref="D15:J15"/>
    <mergeCell ref="K15:Q15"/>
    <mergeCell ref="T15:U15"/>
    <mergeCell ref="V15:W15"/>
    <mergeCell ref="AJ15:AK15"/>
    <mergeCell ref="AB15:AE15"/>
    <mergeCell ref="X15:AA15"/>
    <mergeCell ref="AF15:AI15"/>
  </mergeCells>
  <pageMargins left="0.7" right="0.7" top="0.75" bottom="0.75" header="0.3" footer="0.3"/>
  <pageSetup paperSize="9" orientation="portrait" horizontalDpi="300" verticalDpi="300" r:id="rId1"/>
  <ignoredErrors>
    <ignoredError sqref="U18 Y18 AG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W29"/>
  <sheetViews>
    <sheetView zoomScale="85" zoomScaleNormal="85" workbookViewId="0">
      <selection activeCell="E33" sqref="E33"/>
    </sheetView>
  </sheetViews>
  <sheetFormatPr baseColWidth="10" defaultRowHeight="15"/>
  <cols>
    <col min="1" max="11" width="11.42578125" style="121"/>
    <col min="12" max="18" width="0" style="121" hidden="1" customWidth="1"/>
    <col min="19" max="20" width="14.7109375" style="121" hidden="1" customWidth="1"/>
    <col min="21" max="21" width="15.7109375" style="121" hidden="1" customWidth="1"/>
    <col min="22" max="24" width="14.7109375" style="121" hidden="1" customWidth="1"/>
    <col min="25" max="25" width="11.42578125" style="121" hidden="1" customWidth="1"/>
    <col min="26" max="36" width="0" style="121" hidden="1" customWidth="1"/>
    <col min="37" max="37" width="14.7109375" style="121" hidden="1" customWidth="1"/>
    <col min="38" max="39" width="15.140625" style="121" hidden="1" customWidth="1"/>
    <col min="40" max="43" width="0" style="121" hidden="1" customWidth="1"/>
    <col min="44" max="16384" width="11.42578125" style="121"/>
  </cols>
  <sheetData>
    <row r="1" spans="1:49">
      <c r="A1" s="4" t="s">
        <v>35</v>
      </c>
      <c r="F1" s="3"/>
      <c r="G1" s="4" t="s">
        <v>36</v>
      </c>
      <c r="M1" s="4" t="s">
        <v>88</v>
      </c>
      <c r="AH1" s="2"/>
      <c r="AI1" s="2"/>
    </row>
    <row r="2" spans="1:49">
      <c r="A2" s="5" t="s">
        <v>4</v>
      </c>
      <c r="D2" s="44">
        <v>2.4</v>
      </c>
      <c r="E2" s="13" t="s">
        <v>0</v>
      </c>
      <c r="G2" s="5" t="s">
        <v>30</v>
      </c>
      <c r="H2" s="44"/>
      <c r="I2" s="43">
        <v>70</v>
      </c>
      <c r="J2" s="45" t="s">
        <v>33</v>
      </c>
      <c r="K2" s="45"/>
      <c r="L2" s="45"/>
      <c r="M2" s="5" t="s">
        <v>49</v>
      </c>
      <c r="N2" s="3">
        <v>1.5</v>
      </c>
      <c r="O2" s="45" t="s">
        <v>51</v>
      </c>
      <c r="Q2" s="45"/>
      <c r="R2" s="45"/>
    </row>
    <row r="3" spans="1:49">
      <c r="A3" s="5" t="s">
        <v>5</v>
      </c>
      <c r="D3" s="44">
        <v>7.85</v>
      </c>
      <c r="E3" s="13" t="s">
        <v>0</v>
      </c>
      <c r="G3" s="5" t="s">
        <v>32</v>
      </c>
      <c r="H3" s="44"/>
      <c r="I3" s="43">
        <v>12</v>
      </c>
      <c r="J3" s="45" t="s">
        <v>33</v>
      </c>
      <c r="K3" s="45"/>
      <c r="L3" s="45"/>
      <c r="M3" s="5" t="s">
        <v>50</v>
      </c>
      <c r="N3" s="3">
        <v>1.8</v>
      </c>
      <c r="O3" s="45" t="s">
        <v>52</v>
      </c>
      <c r="Q3" s="45"/>
      <c r="R3" s="45"/>
    </row>
    <row r="4" spans="1:49">
      <c r="A4" s="5" t="s">
        <v>6</v>
      </c>
      <c r="D4" s="44">
        <v>1.8</v>
      </c>
      <c r="E4" s="13" t="s">
        <v>0</v>
      </c>
      <c r="G4" s="5" t="s">
        <v>31</v>
      </c>
      <c r="H4" s="44"/>
      <c r="I4" s="43">
        <v>250</v>
      </c>
      <c r="J4" s="45" t="s">
        <v>33</v>
      </c>
      <c r="K4" s="45"/>
      <c r="L4" s="45"/>
      <c r="M4" s="5" t="s">
        <v>63</v>
      </c>
      <c r="N4" s="3">
        <v>3</v>
      </c>
      <c r="O4" s="45" t="s">
        <v>64</v>
      </c>
      <c r="Q4" s="45"/>
      <c r="R4" s="45"/>
    </row>
    <row r="5" spans="1:49">
      <c r="A5" s="5" t="s">
        <v>34</v>
      </c>
      <c r="D5" s="44">
        <v>0.56999999999999995</v>
      </c>
      <c r="E5" s="5"/>
      <c r="G5" s="5" t="s">
        <v>91</v>
      </c>
      <c r="H5" s="44"/>
      <c r="I5" s="43">
        <v>0.88800000000000001</v>
      </c>
      <c r="J5" s="45" t="s">
        <v>92</v>
      </c>
      <c r="K5" s="43"/>
      <c r="L5" s="43"/>
      <c r="M5" s="43"/>
      <c r="N5" s="43"/>
      <c r="O5" s="43"/>
      <c r="Q5" s="43"/>
      <c r="R5" s="43"/>
    </row>
    <row r="6" spans="1:49">
      <c r="A6" s="5" t="s">
        <v>123</v>
      </c>
      <c r="D6" s="44">
        <f>+D7*D8</f>
        <v>10</v>
      </c>
      <c r="E6" s="13" t="s">
        <v>1</v>
      </c>
      <c r="F6" s="45"/>
      <c r="G6" s="8"/>
      <c r="H6" s="44"/>
      <c r="I6" s="43"/>
      <c r="J6" s="43"/>
      <c r="K6" s="43"/>
      <c r="L6" s="43"/>
      <c r="M6" s="43"/>
      <c r="N6" s="43"/>
      <c r="O6" s="43"/>
      <c r="Q6" s="43"/>
      <c r="R6" s="43"/>
    </row>
    <row r="7" spans="1:49">
      <c r="A7" s="5" t="s">
        <v>131</v>
      </c>
      <c r="D7" s="44">
        <v>20</v>
      </c>
      <c r="E7" s="13" t="s">
        <v>1</v>
      </c>
      <c r="F7" s="88" t="s">
        <v>130</v>
      </c>
      <c r="G7" s="88"/>
      <c r="H7" s="89"/>
      <c r="I7" s="90"/>
      <c r="J7" s="91"/>
      <c r="K7" s="43"/>
      <c r="L7" s="43"/>
      <c r="M7" s="43"/>
      <c r="N7" s="43"/>
      <c r="O7" s="43"/>
    </row>
    <row r="8" spans="1:49">
      <c r="A8" s="5" t="s">
        <v>129</v>
      </c>
      <c r="D8" s="44">
        <v>0.5</v>
      </c>
      <c r="E8" s="13"/>
      <c r="F8" s="45"/>
      <c r="G8" s="45"/>
      <c r="H8" s="8"/>
      <c r="I8" s="44"/>
      <c r="J8" s="43"/>
      <c r="K8" s="43"/>
      <c r="L8" s="43"/>
      <c r="M8" s="43"/>
      <c r="N8" s="43"/>
      <c r="O8" s="43"/>
    </row>
    <row r="9" spans="1:49">
      <c r="A9" s="5" t="s">
        <v>46</v>
      </c>
      <c r="D9" s="44">
        <v>1</v>
      </c>
      <c r="E9" s="13" t="s">
        <v>47</v>
      </c>
      <c r="G9" s="8"/>
      <c r="H9" s="44"/>
      <c r="I9" s="43"/>
      <c r="J9" s="43"/>
      <c r="K9" s="43"/>
      <c r="L9" s="43"/>
      <c r="M9" s="43"/>
      <c r="N9" s="43"/>
      <c r="O9" s="43"/>
    </row>
    <row r="10" spans="1:49">
      <c r="A10" s="5"/>
      <c r="E10" s="43"/>
      <c r="G10" s="8"/>
      <c r="H10" s="44"/>
      <c r="I10" s="43"/>
      <c r="J10" s="43"/>
      <c r="K10" s="43"/>
      <c r="L10" s="43"/>
      <c r="M10" s="43"/>
      <c r="N10" s="43"/>
      <c r="O10" s="43"/>
      <c r="Q10" s="43"/>
      <c r="R10" s="43"/>
    </row>
    <row r="11" spans="1:49">
      <c r="A11" s="5" t="s">
        <v>37</v>
      </c>
      <c r="B11" s="45" t="s">
        <v>2</v>
      </c>
      <c r="D11" s="44"/>
      <c r="E11" s="43"/>
      <c r="G11" s="43"/>
      <c r="H11" s="44"/>
      <c r="I11" s="44"/>
      <c r="J11" s="44"/>
      <c r="K11" s="44"/>
      <c r="L11" s="44"/>
      <c r="M11" s="44"/>
      <c r="N11" s="44"/>
      <c r="O11" s="44"/>
      <c r="Q11" s="44"/>
      <c r="R11" s="44"/>
      <c r="S11" s="44"/>
      <c r="T11" s="44"/>
      <c r="U11" s="44"/>
      <c r="V11" s="44"/>
      <c r="W11" s="44"/>
      <c r="X11" s="44"/>
      <c r="Y11" s="44"/>
      <c r="Z11" s="43"/>
      <c r="AA11" s="43"/>
      <c r="AB11" s="43"/>
      <c r="AC11" s="43"/>
      <c r="AD11" s="43"/>
      <c r="AE11" s="43"/>
      <c r="AF11" s="43"/>
      <c r="AG11" s="43"/>
    </row>
    <row r="12" spans="1:49">
      <c r="A12" s="5" t="s">
        <v>38</v>
      </c>
      <c r="B12" s="45" t="s">
        <v>3</v>
      </c>
      <c r="D12" s="44"/>
      <c r="E12" s="43"/>
      <c r="G12" s="44"/>
      <c r="H12" s="44"/>
      <c r="I12" s="44"/>
      <c r="J12" s="44"/>
      <c r="K12" s="44"/>
      <c r="L12" s="44"/>
      <c r="M12" s="44"/>
      <c r="N12" s="44"/>
      <c r="O12" s="44"/>
      <c r="Q12" s="44"/>
      <c r="R12" s="44"/>
      <c r="S12" s="44"/>
      <c r="T12" s="44"/>
      <c r="U12" s="44"/>
      <c r="V12" s="44"/>
      <c r="W12" s="44"/>
      <c r="X12" s="44"/>
      <c r="Y12" s="44"/>
      <c r="Z12" s="43"/>
      <c r="AA12" s="43"/>
      <c r="AB12" s="43"/>
      <c r="AC12" s="43"/>
      <c r="AD12" s="43"/>
      <c r="AE12" s="43"/>
      <c r="AF12" s="43"/>
      <c r="AG12" s="43"/>
    </row>
    <row r="13" spans="1:49">
      <c r="A13" s="5" t="s">
        <v>39</v>
      </c>
      <c r="B13" s="45" t="s">
        <v>40</v>
      </c>
      <c r="D13" s="44"/>
      <c r="E13" s="43"/>
      <c r="G13" s="44"/>
      <c r="H13" s="44"/>
      <c r="I13" s="44"/>
      <c r="J13" s="44"/>
      <c r="K13" s="44"/>
      <c r="L13" s="44"/>
      <c r="M13" s="44"/>
      <c r="N13" s="44"/>
      <c r="O13" s="44"/>
      <c r="Q13" s="44"/>
      <c r="R13" s="44"/>
      <c r="S13" s="44"/>
      <c r="T13" s="44"/>
      <c r="U13" s="44"/>
      <c r="V13" s="44"/>
      <c r="W13" s="44"/>
      <c r="X13" s="44"/>
      <c r="Y13" s="44"/>
      <c r="Z13" s="43"/>
      <c r="AA13" s="43"/>
      <c r="AB13" s="43"/>
      <c r="AC13" s="43"/>
      <c r="AD13" s="43"/>
      <c r="AE13" s="43"/>
      <c r="AF13" s="43"/>
      <c r="AG13" s="43"/>
    </row>
    <row r="14" spans="1:49">
      <c r="A14" s="5" t="s">
        <v>41</v>
      </c>
      <c r="B14" s="45" t="s">
        <v>42</v>
      </c>
      <c r="E14" s="44"/>
      <c r="F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3"/>
      <c r="AA14" s="43"/>
      <c r="AB14" s="43"/>
      <c r="AC14" s="43"/>
      <c r="AD14" s="43"/>
      <c r="AE14" s="43"/>
      <c r="AF14" s="43"/>
      <c r="AG14" s="43"/>
    </row>
    <row r="15" spans="1:49" ht="15" customHeight="1">
      <c r="B15" s="123"/>
      <c r="C15" s="123"/>
      <c r="D15" s="123"/>
      <c r="E15" s="132" t="s">
        <v>146</v>
      </c>
      <c r="F15" s="132"/>
      <c r="G15" s="132"/>
      <c r="H15" s="132"/>
      <c r="I15" s="132"/>
      <c r="J15" s="132"/>
      <c r="K15" s="132"/>
      <c r="L15" s="132" t="s">
        <v>83</v>
      </c>
      <c r="M15" s="132"/>
      <c r="N15" s="132"/>
      <c r="O15" s="132"/>
      <c r="P15" s="132"/>
      <c r="Q15" s="132"/>
      <c r="R15" s="132"/>
      <c r="S15" s="36" t="s">
        <v>22</v>
      </c>
      <c r="T15" s="36" t="s">
        <v>147</v>
      </c>
      <c r="U15" s="131" t="s">
        <v>57</v>
      </c>
      <c r="V15" s="131"/>
      <c r="W15" s="131" t="s">
        <v>87</v>
      </c>
      <c r="X15" s="131"/>
      <c r="Y15" s="132" t="s">
        <v>150</v>
      </c>
      <c r="Z15" s="132"/>
      <c r="AA15" s="132"/>
      <c r="AB15" s="132"/>
      <c r="AC15" s="132" t="s">
        <v>139</v>
      </c>
      <c r="AD15" s="132"/>
      <c r="AE15" s="132"/>
      <c r="AF15" s="132"/>
      <c r="AG15" s="132" t="s">
        <v>140</v>
      </c>
      <c r="AH15" s="132"/>
      <c r="AI15" s="132"/>
      <c r="AJ15" s="132"/>
      <c r="AK15" s="133" t="s">
        <v>136</v>
      </c>
      <c r="AL15" s="134"/>
      <c r="AM15" s="115" t="s">
        <v>137</v>
      </c>
      <c r="AN15" s="132" t="s">
        <v>48</v>
      </c>
      <c r="AO15" s="132"/>
      <c r="AP15" s="132"/>
      <c r="AQ15" s="132"/>
      <c r="AR15" s="160" t="s">
        <v>133</v>
      </c>
      <c r="AS15" s="160"/>
      <c r="AT15" s="160"/>
      <c r="AU15" s="160"/>
      <c r="AV15" s="160"/>
      <c r="AW15" s="160"/>
    </row>
    <row r="16" spans="1:49" ht="20.25" customHeight="1">
      <c r="A16" s="83" t="s">
        <v>78</v>
      </c>
      <c r="B16" s="83" t="s">
        <v>79</v>
      </c>
      <c r="C16" s="83" t="s">
        <v>15</v>
      </c>
      <c r="D16" s="85" t="s">
        <v>8</v>
      </c>
      <c r="E16" s="72" t="s">
        <v>125</v>
      </c>
      <c r="F16" s="46" t="s">
        <v>17</v>
      </c>
      <c r="G16" s="72" t="s">
        <v>124</v>
      </c>
      <c r="H16" s="46" t="s">
        <v>80</v>
      </c>
      <c r="I16" s="72" t="s">
        <v>126</v>
      </c>
      <c r="J16" s="28" t="s">
        <v>20</v>
      </c>
      <c r="K16" s="51" t="s">
        <v>21</v>
      </c>
      <c r="L16" s="93" t="s">
        <v>84</v>
      </c>
      <c r="M16" s="72" t="s">
        <v>127</v>
      </c>
      <c r="N16" s="28" t="s">
        <v>81</v>
      </c>
      <c r="O16" s="72" t="s">
        <v>128</v>
      </c>
      <c r="P16" s="28" t="s">
        <v>18</v>
      </c>
      <c r="Q16" s="28" t="s">
        <v>86</v>
      </c>
      <c r="R16" s="51" t="s">
        <v>21</v>
      </c>
      <c r="S16" s="85" t="s">
        <v>149</v>
      </c>
      <c r="T16" s="19" t="s">
        <v>148</v>
      </c>
      <c r="U16" s="84" t="s">
        <v>148</v>
      </c>
      <c r="V16" s="85" t="s">
        <v>135</v>
      </c>
      <c r="W16" s="84" t="s">
        <v>148</v>
      </c>
      <c r="X16" s="85" t="s">
        <v>135</v>
      </c>
      <c r="Y16" s="22" t="s">
        <v>17</v>
      </c>
      <c r="Z16" s="84" t="s">
        <v>119</v>
      </c>
      <c r="AA16" s="84" t="s">
        <v>80</v>
      </c>
      <c r="AB16" s="84" t="s">
        <v>120</v>
      </c>
      <c r="AC16" s="22" t="s">
        <v>17</v>
      </c>
      <c r="AD16" s="84" t="s">
        <v>119</v>
      </c>
      <c r="AE16" s="28" t="s">
        <v>20</v>
      </c>
      <c r="AF16" s="85" t="s">
        <v>111</v>
      </c>
      <c r="AG16" s="22" t="s">
        <v>80</v>
      </c>
      <c r="AH16" s="84" t="s">
        <v>120</v>
      </c>
      <c r="AI16" s="28" t="s">
        <v>20</v>
      </c>
      <c r="AJ16" s="85" t="s">
        <v>111</v>
      </c>
      <c r="AK16" s="119" t="s">
        <v>134</v>
      </c>
      <c r="AL16" s="118" t="s">
        <v>135</v>
      </c>
      <c r="AM16" s="46" t="s">
        <v>135</v>
      </c>
      <c r="AN16" s="22" t="s">
        <v>39</v>
      </c>
      <c r="AO16" s="46" t="s">
        <v>41</v>
      </c>
      <c r="AP16" s="46" t="s">
        <v>37</v>
      </c>
      <c r="AQ16" s="94" t="s">
        <v>38</v>
      </c>
      <c r="AR16" s="152" t="s">
        <v>55</v>
      </c>
      <c r="AS16" s="141"/>
      <c r="AT16" s="137" t="s">
        <v>56</v>
      </c>
      <c r="AU16" s="137"/>
      <c r="AV16" s="161" t="s">
        <v>62</v>
      </c>
      <c r="AW16" s="143"/>
    </row>
    <row r="17" spans="1:49">
      <c r="A17" s="15" t="s">
        <v>9</v>
      </c>
      <c r="B17" s="15" t="s">
        <v>9</v>
      </c>
      <c r="C17" s="15" t="s">
        <v>11</v>
      </c>
      <c r="D17" s="82" t="s">
        <v>12</v>
      </c>
      <c r="E17" s="72" t="s">
        <v>59</v>
      </c>
      <c r="F17" s="46" t="s">
        <v>16</v>
      </c>
      <c r="G17" s="72" t="s">
        <v>59</v>
      </c>
      <c r="H17" s="46" t="s">
        <v>16</v>
      </c>
      <c r="I17" s="72" t="s">
        <v>59</v>
      </c>
      <c r="J17" s="46" t="s">
        <v>16</v>
      </c>
      <c r="K17" s="85" t="s">
        <v>23</v>
      </c>
      <c r="L17" s="84" t="s">
        <v>85</v>
      </c>
      <c r="M17" s="72" t="s">
        <v>59</v>
      </c>
      <c r="N17" s="46" t="s">
        <v>16</v>
      </c>
      <c r="O17" s="72" t="s">
        <v>59</v>
      </c>
      <c r="P17" s="46" t="s">
        <v>16</v>
      </c>
      <c r="Q17" s="46" t="s">
        <v>16</v>
      </c>
      <c r="R17" s="85" t="s">
        <v>23</v>
      </c>
      <c r="S17" s="82" t="s">
        <v>23</v>
      </c>
      <c r="T17" s="20" t="s">
        <v>24</v>
      </c>
      <c r="U17" s="25" t="s">
        <v>24</v>
      </c>
      <c r="V17" s="82" t="s">
        <v>12</v>
      </c>
      <c r="W17" s="25" t="s">
        <v>24</v>
      </c>
      <c r="X17" s="82" t="s">
        <v>12</v>
      </c>
      <c r="Y17" s="24" t="s">
        <v>16</v>
      </c>
      <c r="Z17" s="25" t="s">
        <v>29</v>
      </c>
      <c r="AA17" s="25" t="s">
        <v>16</v>
      </c>
      <c r="AB17" s="25" t="s">
        <v>29</v>
      </c>
      <c r="AC17" s="24" t="s">
        <v>16</v>
      </c>
      <c r="AD17" s="25" t="s">
        <v>29</v>
      </c>
      <c r="AE17" s="25" t="s">
        <v>16</v>
      </c>
      <c r="AF17" s="82" t="s">
        <v>29</v>
      </c>
      <c r="AG17" s="24" t="s">
        <v>16</v>
      </c>
      <c r="AH17" s="25" t="s">
        <v>29</v>
      </c>
      <c r="AI17" s="25" t="s">
        <v>16</v>
      </c>
      <c r="AJ17" s="82" t="s">
        <v>29</v>
      </c>
      <c r="AK17" s="25" t="s">
        <v>16</v>
      </c>
      <c r="AL17" s="82" t="s">
        <v>12</v>
      </c>
      <c r="AM17" s="14" t="s">
        <v>12</v>
      </c>
      <c r="AN17" s="24" t="s">
        <v>12</v>
      </c>
      <c r="AO17" s="14" t="s">
        <v>12</v>
      </c>
      <c r="AP17" s="14" t="s">
        <v>12</v>
      </c>
      <c r="AQ17" s="14" t="s">
        <v>12</v>
      </c>
      <c r="AR17" s="22" t="s">
        <v>53</v>
      </c>
      <c r="AS17" s="85" t="s">
        <v>54</v>
      </c>
      <c r="AT17" s="22" t="s">
        <v>53</v>
      </c>
      <c r="AU17" s="85" t="s">
        <v>54</v>
      </c>
      <c r="AV17" s="95" t="s">
        <v>53</v>
      </c>
      <c r="AW17" s="61" t="s">
        <v>54</v>
      </c>
    </row>
    <row r="18" spans="1:49">
      <c r="A18" s="10">
        <v>110</v>
      </c>
      <c r="B18" s="10">
        <v>75</v>
      </c>
      <c r="C18" s="10">
        <v>10</v>
      </c>
      <c r="D18" s="18">
        <f>(C18/0.0001)*((PI()*(A18/1000)^2)/4 -(PI()*(B18/1000)^2)/4)/1000</f>
        <v>0.50854531079984777</v>
      </c>
      <c r="E18" s="126">
        <v>0.2</v>
      </c>
      <c r="F18" s="11">
        <f>+E18+(A18/1000)</f>
        <v>0.31</v>
      </c>
      <c r="G18" s="126">
        <f>+E18</f>
        <v>0.2</v>
      </c>
      <c r="H18" s="11">
        <f>+G18+(A18/1000)</f>
        <v>0.31</v>
      </c>
      <c r="I18" s="126">
        <f>+E18</f>
        <v>0.2</v>
      </c>
      <c r="J18" s="11">
        <f>+I18+(A18/1000)</f>
        <v>0.31</v>
      </c>
      <c r="K18" s="18">
        <f>+F18*H18</f>
        <v>9.6100000000000005E-2</v>
      </c>
      <c r="L18" s="73">
        <v>1</v>
      </c>
      <c r="M18" s="126">
        <v>0.05</v>
      </c>
      <c r="N18" s="11">
        <f>+M18*2+(B18/1000)</f>
        <v>0.17499999999999999</v>
      </c>
      <c r="O18" s="126">
        <f>+M18</f>
        <v>0.05</v>
      </c>
      <c r="P18" s="11">
        <f>+O18*2+(B18/1000)</f>
        <v>0.17499999999999999</v>
      </c>
      <c r="Q18" s="128">
        <v>1.4999999999999999E-2</v>
      </c>
      <c r="R18" s="50">
        <f>+N18*P18-PI()*(B18/1000)^2/4</f>
        <v>2.620713533088935E-2</v>
      </c>
      <c r="S18" s="18">
        <f>+(F18*J18)*2+(H18*J18)*2</f>
        <v>0.38440000000000002</v>
      </c>
      <c r="T18" s="21">
        <f>+K18*J18</f>
        <v>2.9791000000000002E-2</v>
      </c>
      <c r="U18" s="27">
        <f>+T18-PI()*(B18/1000)^2/4*F18</f>
        <v>2.8421461952575701E-2</v>
      </c>
      <c r="V18" s="18">
        <f>+U18*$D$2</f>
        <v>6.8211508686181685E-2</v>
      </c>
      <c r="W18" s="49">
        <f>+L18*R18*Q18</f>
        <v>3.9310702996334026E-4</v>
      </c>
      <c r="X18" s="50">
        <f t="shared" ref="X18:X23" si="0">+W18*$D$3</f>
        <v>3.085890185212221E-3</v>
      </c>
      <c r="Y18" s="26">
        <f>+F18</f>
        <v>0.31</v>
      </c>
      <c r="Z18" s="27">
        <f t="shared" ref="Z18:Z29" si="1">+ROUND((H18-2*($I$2/1000))/($I$4/1000),0)+1</f>
        <v>2</v>
      </c>
      <c r="AA18" s="27">
        <f>+H18</f>
        <v>0.31</v>
      </c>
      <c r="AB18" s="27">
        <f t="shared" ref="AB18:AB29" si="2">+ROUND((F18-2*($I$2/1000))/($I$4/1000),0)+1</f>
        <v>2</v>
      </c>
      <c r="AC18" s="26">
        <f>+F18</f>
        <v>0.31</v>
      </c>
      <c r="AD18" s="27">
        <f t="shared" ref="AD18:AD23" si="3">+ROUND((J18-2*($I$2/1000))/($I$4/1000),0)+1</f>
        <v>2</v>
      </c>
      <c r="AE18" s="27">
        <f>+J18</f>
        <v>0.31</v>
      </c>
      <c r="AF18" s="18">
        <f t="shared" ref="AF18:AF29" si="4">+ROUND((F18-2*($I$2/1000))/($I$4/1000),0)+1</f>
        <v>2</v>
      </c>
      <c r="AG18" s="26">
        <f>+H18</f>
        <v>0.31</v>
      </c>
      <c r="AH18" s="27">
        <f t="shared" ref="AH18:AH23" si="5">+ROUND((J18-2*($I$2/1000))/($I$4/1000),0)+1</f>
        <v>2</v>
      </c>
      <c r="AI18" s="27">
        <f>+J18</f>
        <v>0.31</v>
      </c>
      <c r="AJ18" s="18">
        <f t="shared" ref="AJ18:AJ29" si="6">+ROUND((F18-2*($I$2/1000))/($I$4/1000),0)+1</f>
        <v>2</v>
      </c>
      <c r="AK18" s="27">
        <f>+(Y18*Z18+AA18*AB18)*2+(AC18*AD18+AE18*AF18)*2+(AG18*AH18+AI18*AJ18)*2</f>
        <v>7.4399999999999995</v>
      </c>
      <c r="AL18" s="18">
        <f t="shared" ref="AL18:AL23" si="7">+AK18*$I$5/1000</f>
        <v>6.6067199999999991E-3</v>
      </c>
      <c r="AM18" s="11">
        <f>+V18+X18+AL18</f>
        <v>7.7904118871393896E-2</v>
      </c>
      <c r="AN18" s="26">
        <f>+AM18</f>
        <v>7.7904118871393896E-2</v>
      </c>
      <c r="AO18" s="11">
        <f t="shared" ref="AO18:AO23" si="8">+K18*($D$9-(J18/2-B18/2000))*$D$4</f>
        <v>0.15265485000000004</v>
      </c>
      <c r="AP18" s="11">
        <f t="shared" ref="AP18:AP23" si="9">+$D$5*(AN18+AO18)</f>
        <v>0.13141861225669452</v>
      </c>
      <c r="AQ18" s="11">
        <f t="shared" ref="AQ18:AQ23" si="10">+(H18*J18)*$D$6</f>
        <v>0.96100000000000008</v>
      </c>
      <c r="AR18" s="26">
        <f>+(AP18+AQ18)/D18</f>
        <v>2.1481244425172696</v>
      </c>
      <c r="AS18" s="18" t="str">
        <f t="shared" ref="AS18:AS23" si="11">+IF(AR18&gt;$N$2,"CUMPLE",IF(AR18=$N$2,"CUMPLE","NO CUMPLE"))</f>
        <v>CUMPLE</v>
      </c>
      <c r="AT18" s="26">
        <f>+(AN18*H18/2+AO18*H18/2+AQ18*J18/2)/(D18*J18/2)</f>
        <v>2.3430733576075884</v>
      </c>
      <c r="AU18" s="18" t="str">
        <f t="shared" ref="AU18:AU23" si="12">+IF(AT18&gt;$N$3,"CUMPLE",IF(AT18=$N$3,"CUMPLE","NO CUMPLE"))</f>
        <v>CUMPLE</v>
      </c>
      <c r="AV18" s="92">
        <f t="shared" ref="AV18:AV23" si="13">+$D$7/((AN18+AO18)/K18)</f>
        <v>8.3362621259470249</v>
      </c>
      <c r="AW18" s="56" t="str">
        <f t="shared" ref="AW18:AW23" si="14">+IF(AV18&gt;$N$4,"CUMPLE",IF(AV18=$N$4,"CUMPLE","NO CUMPLE"))</f>
        <v>CUMPLE</v>
      </c>
    </row>
    <row r="19" spans="1:49">
      <c r="A19" s="10">
        <v>110</v>
      </c>
      <c r="B19" s="10">
        <v>90</v>
      </c>
      <c r="C19" s="10">
        <v>10</v>
      </c>
      <c r="D19" s="18">
        <f t="shared" ref="D19:D29" si="15">(C19/0.0001)*((PI()*(A19/1000)^2)/4 -(PI()*(B19/1000)^2)/4)/1000</f>
        <v>0.31415926535897937</v>
      </c>
      <c r="E19" s="126">
        <v>0.2</v>
      </c>
      <c r="F19" s="11">
        <f t="shared" ref="F19:F29" si="16">+E19+(A19/1000)</f>
        <v>0.31</v>
      </c>
      <c r="G19" s="126">
        <f t="shared" ref="G19:G29" si="17">+E19</f>
        <v>0.2</v>
      </c>
      <c r="H19" s="11">
        <f t="shared" ref="H19:H29" si="18">+G19+(A19/1000)</f>
        <v>0.31</v>
      </c>
      <c r="I19" s="126">
        <f t="shared" ref="I19:I29" si="19">+E19</f>
        <v>0.2</v>
      </c>
      <c r="J19" s="11">
        <f t="shared" ref="J19:J29" si="20">+I19+(A19/1000)</f>
        <v>0.31</v>
      </c>
      <c r="K19" s="18">
        <f t="shared" ref="K19:K29" si="21">+F19*H19</f>
        <v>9.6100000000000005E-2</v>
      </c>
      <c r="L19" s="73">
        <v>1</v>
      </c>
      <c r="M19" s="126">
        <v>0.05</v>
      </c>
      <c r="N19" s="11">
        <f t="shared" ref="N19:N29" si="22">+M19*2+(B19/1000)</f>
        <v>0.19</v>
      </c>
      <c r="O19" s="126">
        <f t="shared" ref="O19:O29" si="23">+M19</f>
        <v>0.05</v>
      </c>
      <c r="P19" s="11">
        <f t="shared" ref="P19:P29" si="24">+O19*2+(B19/1000)</f>
        <v>0.19</v>
      </c>
      <c r="Q19" s="128">
        <v>1.4999999999999999E-2</v>
      </c>
      <c r="R19" s="50">
        <f t="shared" ref="R19:R29" si="25">+N19*P19-PI()*(B19/1000)^2/4</f>
        <v>2.9738274876480668E-2</v>
      </c>
      <c r="S19" s="18">
        <f t="shared" ref="S19:S29" si="26">+(F19*J19)*2+(H19*J19)*2</f>
        <v>0.38440000000000002</v>
      </c>
      <c r="T19" s="21">
        <f t="shared" ref="T19:T29" si="27">+K19*J19</f>
        <v>2.9791000000000002E-2</v>
      </c>
      <c r="U19" s="27">
        <f t="shared" ref="U19:U29" si="28">+T19-PI()*(B19/1000)^2/4*F19</f>
        <v>2.781886521170901E-2</v>
      </c>
      <c r="V19" s="18">
        <f t="shared" ref="V19:V29" si="29">+U19*$D$2</f>
        <v>6.6765276508101615E-2</v>
      </c>
      <c r="W19" s="49">
        <f t="shared" ref="W19:W23" si="30">+L19*R19*Q19</f>
        <v>4.4607412314721001E-4</v>
      </c>
      <c r="X19" s="50">
        <f t="shared" si="0"/>
        <v>3.5016818667055983E-3</v>
      </c>
      <c r="Y19" s="26">
        <f t="shared" ref="Y19:Y29" si="31">+F19</f>
        <v>0.31</v>
      </c>
      <c r="Z19" s="27">
        <f t="shared" si="1"/>
        <v>2</v>
      </c>
      <c r="AA19" s="27">
        <f t="shared" ref="AA19:AA29" si="32">+H19</f>
        <v>0.31</v>
      </c>
      <c r="AB19" s="27">
        <f t="shared" si="2"/>
        <v>2</v>
      </c>
      <c r="AC19" s="26">
        <f t="shared" ref="AC19:AC29" si="33">+F19</f>
        <v>0.31</v>
      </c>
      <c r="AD19" s="27">
        <f t="shared" si="3"/>
        <v>2</v>
      </c>
      <c r="AE19" s="27">
        <f t="shared" ref="AE19:AE23" si="34">+J19</f>
        <v>0.31</v>
      </c>
      <c r="AF19" s="18">
        <f t="shared" si="4"/>
        <v>2</v>
      </c>
      <c r="AG19" s="26">
        <f t="shared" ref="AG19:AG29" si="35">+H19</f>
        <v>0.31</v>
      </c>
      <c r="AH19" s="27">
        <f t="shared" si="5"/>
        <v>2</v>
      </c>
      <c r="AI19" s="27">
        <f t="shared" ref="AI19:AI23" si="36">+J19</f>
        <v>0.31</v>
      </c>
      <c r="AJ19" s="18">
        <f t="shared" si="6"/>
        <v>2</v>
      </c>
      <c r="AK19" s="27">
        <f t="shared" ref="AK19:AK23" si="37">+(Y19*Z19+AA19*AB19)*2+(AC19*AD19+AE19*AF19)*2+(AG19*AH19+AI19*AJ19)*2</f>
        <v>7.4399999999999995</v>
      </c>
      <c r="AL19" s="18">
        <f t="shared" si="7"/>
        <v>6.6067199999999991E-3</v>
      </c>
      <c r="AM19" s="11">
        <f t="shared" ref="AM19:AM29" si="38">+V19+X19+AL19</f>
        <v>7.6873678374807214E-2</v>
      </c>
      <c r="AN19" s="26">
        <f t="shared" ref="AN19:AN23" si="39">+AM19</f>
        <v>7.6873678374807214E-2</v>
      </c>
      <c r="AO19" s="11">
        <f t="shared" si="8"/>
        <v>0.15395220000000001</v>
      </c>
      <c r="AP19" s="11">
        <f t="shared" si="9"/>
        <v>0.1315707506736401</v>
      </c>
      <c r="AQ19" s="11">
        <f t="shared" si="10"/>
        <v>0.96100000000000008</v>
      </c>
      <c r="AR19" s="26">
        <f t="shared" ref="AR19:AR23" si="40">+(AP19+AQ19)/D19</f>
        <v>3.477760712946651</v>
      </c>
      <c r="AS19" s="18" t="str">
        <f t="shared" si="11"/>
        <v>CUMPLE</v>
      </c>
      <c r="AT19" s="26">
        <f t="shared" ref="AT19:AT23" si="41">+(AN19*H19/2+AO19*H19/2+AQ19*J19/2)/(D19*J19/2)</f>
        <v>3.7936995969638119</v>
      </c>
      <c r="AU19" s="18" t="str">
        <f t="shared" si="12"/>
        <v>CUMPLE</v>
      </c>
      <c r="AV19" s="92">
        <f t="shared" si="13"/>
        <v>8.3266227059650646</v>
      </c>
      <c r="AW19" s="56" t="str">
        <f t="shared" si="14"/>
        <v>CUMPLE</v>
      </c>
    </row>
    <row r="20" spans="1:49">
      <c r="A20" s="10">
        <v>125</v>
      </c>
      <c r="B20" s="10">
        <v>90</v>
      </c>
      <c r="C20" s="10">
        <v>10</v>
      </c>
      <c r="D20" s="18">
        <f t="shared" si="15"/>
        <v>0.59101211795657993</v>
      </c>
      <c r="E20" s="126">
        <v>0.3</v>
      </c>
      <c r="F20" s="11">
        <f t="shared" si="16"/>
        <v>0.42499999999999999</v>
      </c>
      <c r="G20" s="126">
        <f t="shared" si="17"/>
        <v>0.3</v>
      </c>
      <c r="H20" s="11">
        <f t="shared" si="18"/>
        <v>0.42499999999999999</v>
      </c>
      <c r="I20" s="126">
        <f t="shared" si="19"/>
        <v>0.3</v>
      </c>
      <c r="J20" s="11">
        <f t="shared" si="20"/>
        <v>0.42499999999999999</v>
      </c>
      <c r="K20" s="18">
        <f t="shared" si="21"/>
        <v>0.18062499999999998</v>
      </c>
      <c r="L20" s="73">
        <v>1</v>
      </c>
      <c r="M20" s="126">
        <v>7.4999999999999997E-2</v>
      </c>
      <c r="N20" s="11">
        <f t="shared" si="22"/>
        <v>0.24</v>
      </c>
      <c r="O20" s="126">
        <f t="shared" si="23"/>
        <v>7.4999999999999997E-2</v>
      </c>
      <c r="P20" s="11">
        <f t="shared" si="24"/>
        <v>0.24</v>
      </c>
      <c r="Q20" s="128">
        <v>1.4999999999999999E-2</v>
      </c>
      <c r="R20" s="50">
        <f t="shared" si="25"/>
        <v>5.1238274876480666E-2</v>
      </c>
      <c r="S20" s="18">
        <f t="shared" si="26"/>
        <v>0.72249999999999992</v>
      </c>
      <c r="T20" s="21">
        <f t="shared" si="27"/>
        <v>7.676562499999999E-2</v>
      </c>
      <c r="U20" s="27">
        <f t="shared" si="28"/>
        <v>7.4061891822504278E-2</v>
      </c>
      <c r="V20" s="18">
        <f t="shared" si="29"/>
        <v>0.17774854037401025</v>
      </c>
      <c r="W20" s="49">
        <f t="shared" si="30"/>
        <v>7.6857412314720994E-4</v>
      </c>
      <c r="X20" s="50">
        <f t="shared" si="0"/>
        <v>6.0333068667055975E-3</v>
      </c>
      <c r="Y20" s="26">
        <f t="shared" si="31"/>
        <v>0.42499999999999999</v>
      </c>
      <c r="Z20" s="27">
        <f t="shared" si="1"/>
        <v>2</v>
      </c>
      <c r="AA20" s="27">
        <f t="shared" si="32"/>
        <v>0.42499999999999999</v>
      </c>
      <c r="AB20" s="27">
        <f t="shared" si="2"/>
        <v>2</v>
      </c>
      <c r="AC20" s="26">
        <f t="shared" si="33"/>
        <v>0.42499999999999999</v>
      </c>
      <c r="AD20" s="27">
        <f t="shared" si="3"/>
        <v>2</v>
      </c>
      <c r="AE20" s="27">
        <f t="shared" si="34"/>
        <v>0.42499999999999999</v>
      </c>
      <c r="AF20" s="18">
        <f t="shared" si="4"/>
        <v>2</v>
      </c>
      <c r="AG20" s="26">
        <f t="shared" si="35"/>
        <v>0.42499999999999999</v>
      </c>
      <c r="AH20" s="27">
        <f t="shared" si="5"/>
        <v>2</v>
      </c>
      <c r="AI20" s="27">
        <f t="shared" si="36"/>
        <v>0.42499999999999999</v>
      </c>
      <c r="AJ20" s="18">
        <f t="shared" si="6"/>
        <v>2</v>
      </c>
      <c r="AK20" s="27">
        <f t="shared" si="37"/>
        <v>10.199999999999999</v>
      </c>
      <c r="AL20" s="18">
        <f t="shared" si="7"/>
        <v>9.057599999999999E-3</v>
      </c>
      <c r="AM20" s="11">
        <f t="shared" si="38"/>
        <v>0.19283944724071583</v>
      </c>
      <c r="AN20" s="26">
        <f t="shared" si="39"/>
        <v>0.19283944724071583</v>
      </c>
      <c r="AO20" s="11">
        <f t="shared" si="8"/>
        <v>0.27066656249999999</v>
      </c>
      <c r="AP20" s="11">
        <f t="shared" si="9"/>
        <v>0.26419842555220802</v>
      </c>
      <c r="AQ20" s="11">
        <f t="shared" si="10"/>
        <v>1.8062499999999999</v>
      </c>
      <c r="AR20" s="26">
        <f t="shared" si="40"/>
        <v>3.5032249976713983</v>
      </c>
      <c r="AS20" s="18" t="str">
        <f t="shared" si="11"/>
        <v>CUMPLE</v>
      </c>
      <c r="AT20" s="26">
        <f t="shared" si="41"/>
        <v>3.8404559581424156</v>
      </c>
      <c r="AU20" s="18" t="str">
        <f t="shared" si="12"/>
        <v>CUMPLE</v>
      </c>
      <c r="AV20" s="92">
        <f t="shared" si="13"/>
        <v>7.7938579523938083</v>
      </c>
      <c r="AW20" s="56" t="str">
        <f t="shared" si="14"/>
        <v>CUMPLE</v>
      </c>
    </row>
    <row r="21" spans="1:49">
      <c r="A21" s="10">
        <v>125</v>
      </c>
      <c r="B21" s="10">
        <v>110</v>
      </c>
      <c r="C21" s="10">
        <v>10</v>
      </c>
      <c r="D21" s="18">
        <f t="shared" si="15"/>
        <v>0.27685285259760051</v>
      </c>
      <c r="E21" s="126">
        <v>0.3</v>
      </c>
      <c r="F21" s="11">
        <f t="shared" si="16"/>
        <v>0.42499999999999999</v>
      </c>
      <c r="G21" s="126">
        <f t="shared" si="17"/>
        <v>0.3</v>
      </c>
      <c r="H21" s="11">
        <f t="shared" si="18"/>
        <v>0.42499999999999999</v>
      </c>
      <c r="I21" s="126">
        <f t="shared" si="19"/>
        <v>0.3</v>
      </c>
      <c r="J21" s="11">
        <f t="shared" si="20"/>
        <v>0.42499999999999999</v>
      </c>
      <c r="K21" s="18">
        <f t="shared" si="21"/>
        <v>0.18062499999999998</v>
      </c>
      <c r="L21" s="73">
        <v>1</v>
      </c>
      <c r="M21" s="126">
        <v>7.4999999999999997E-2</v>
      </c>
      <c r="N21" s="11">
        <f t="shared" si="22"/>
        <v>0.26</v>
      </c>
      <c r="O21" s="126">
        <f t="shared" si="23"/>
        <v>7.4999999999999997E-2</v>
      </c>
      <c r="P21" s="11">
        <f t="shared" si="24"/>
        <v>0.26</v>
      </c>
      <c r="Q21" s="128">
        <v>1.4999999999999999E-2</v>
      </c>
      <c r="R21" s="50">
        <f t="shared" si="25"/>
        <v>5.8096682222890883E-2</v>
      </c>
      <c r="S21" s="18">
        <f t="shared" si="26"/>
        <v>0.72249999999999992</v>
      </c>
      <c r="T21" s="21">
        <f t="shared" si="27"/>
        <v>7.676562499999999E-2</v>
      </c>
      <c r="U21" s="27">
        <f t="shared" si="28"/>
        <v>7.2726714944728613E-2</v>
      </c>
      <c r="V21" s="18">
        <f t="shared" si="29"/>
        <v>0.17454411586734866</v>
      </c>
      <c r="W21" s="49">
        <f t="shared" si="30"/>
        <v>8.7145023334336325E-4</v>
      </c>
      <c r="X21" s="50">
        <f t="shared" si="0"/>
        <v>6.8408843317454013E-3</v>
      </c>
      <c r="Y21" s="26">
        <f t="shared" si="31"/>
        <v>0.42499999999999999</v>
      </c>
      <c r="Z21" s="27">
        <f t="shared" si="1"/>
        <v>2</v>
      </c>
      <c r="AA21" s="27">
        <f t="shared" si="32"/>
        <v>0.42499999999999999</v>
      </c>
      <c r="AB21" s="27">
        <f t="shared" si="2"/>
        <v>2</v>
      </c>
      <c r="AC21" s="26">
        <f t="shared" si="33"/>
        <v>0.42499999999999999</v>
      </c>
      <c r="AD21" s="27">
        <f t="shared" si="3"/>
        <v>2</v>
      </c>
      <c r="AE21" s="27">
        <f t="shared" si="34"/>
        <v>0.42499999999999999</v>
      </c>
      <c r="AF21" s="18">
        <f t="shared" si="4"/>
        <v>2</v>
      </c>
      <c r="AG21" s="26">
        <f t="shared" si="35"/>
        <v>0.42499999999999999</v>
      </c>
      <c r="AH21" s="27">
        <f t="shared" si="5"/>
        <v>2</v>
      </c>
      <c r="AI21" s="27">
        <f t="shared" si="36"/>
        <v>0.42499999999999999</v>
      </c>
      <c r="AJ21" s="18">
        <f t="shared" si="6"/>
        <v>2</v>
      </c>
      <c r="AK21" s="27">
        <f t="shared" si="37"/>
        <v>10.199999999999999</v>
      </c>
      <c r="AL21" s="18">
        <f t="shared" si="7"/>
        <v>9.057599999999999E-3</v>
      </c>
      <c r="AM21" s="11">
        <f t="shared" si="38"/>
        <v>0.19044260019909406</v>
      </c>
      <c r="AN21" s="26">
        <f t="shared" si="39"/>
        <v>0.19044260019909406</v>
      </c>
      <c r="AO21" s="11">
        <f t="shared" si="8"/>
        <v>0.27391781250000002</v>
      </c>
      <c r="AP21" s="11">
        <f t="shared" si="9"/>
        <v>0.26468543523848365</v>
      </c>
      <c r="AQ21" s="11">
        <f t="shared" si="10"/>
        <v>1.8062499999999999</v>
      </c>
      <c r="AR21" s="26">
        <f t="shared" si="40"/>
        <v>7.4802748673445754</v>
      </c>
      <c r="AS21" s="18" t="str">
        <f t="shared" si="11"/>
        <v>CUMPLE</v>
      </c>
      <c r="AT21" s="26">
        <f t="shared" si="41"/>
        <v>8.2015062925841544</v>
      </c>
      <c r="AU21" s="18" t="str">
        <f t="shared" si="12"/>
        <v>CUMPLE</v>
      </c>
      <c r="AV21" s="92">
        <f t="shared" si="13"/>
        <v>7.7795175928162124</v>
      </c>
      <c r="AW21" s="56" t="str">
        <f t="shared" si="14"/>
        <v>CUMPLE</v>
      </c>
    </row>
    <row r="22" spans="1:49">
      <c r="A22" s="10">
        <v>140</v>
      </c>
      <c r="B22" s="10">
        <v>110</v>
      </c>
      <c r="C22" s="10">
        <v>10</v>
      </c>
      <c r="D22" s="18">
        <f t="shared" si="15"/>
        <v>0.58904862254808632</v>
      </c>
      <c r="E22" s="126">
        <v>0.3</v>
      </c>
      <c r="F22" s="11">
        <f t="shared" si="16"/>
        <v>0.44</v>
      </c>
      <c r="G22" s="126">
        <f t="shared" si="17"/>
        <v>0.3</v>
      </c>
      <c r="H22" s="11">
        <f t="shared" si="18"/>
        <v>0.44</v>
      </c>
      <c r="I22" s="126">
        <f t="shared" si="19"/>
        <v>0.3</v>
      </c>
      <c r="J22" s="11">
        <f t="shared" si="20"/>
        <v>0.44</v>
      </c>
      <c r="K22" s="18">
        <f t="shared" si="21"/>
        <v>0.19359999999999999</v>
      </c>
      <c r="L22" s="73">
        <v>1</v>
      </c>
      <c r="M22" s="126">
        <v>0.1</v>
      </c>
      <c r="N22" s="11">
        <f t="shared" si="22"/>
        <v>0.31</v>
      </c>
      <c r="O22" s="126">
        <f t="shared" si="23"/>
        <v>0.1</v>
      </c>
      <c r="P22" s="11">
        <f t="shared" si="24"/>
        <v>0.31</v>
      </c>
      <c r="Q22" s="128">
        <v>1.4999999999999999E-2</v>
      </c>
      <c r="R22" s="50">
        <f t="shared" si="25"/>
        <v>8.6596682222890881E-2</v>
      </c>
      <c r="S22" s="18">
        <f t="shared" si="26"/>
        <v>0.77439999999999998</v>
      </c>
      <c r="T22" s="21">
        <f t="shared" si="27"/>
        <v>8.5183999999999996E-2</v>
      </c>
      <c r="U22" s="27">
        <f t="shared" si="28"/>
        <v>8.1002540178071986E-2</v>
      </c>
      <c r="V22" s="18">
        <f t="shared" si="29"/>
        <v>0.19440609642737275</v>
      </c>
      <c r="W22" s="49">
        <f t="shared" si="30"/>
        <v>1.2989502333433632E-3</v>
      </c>
      <c r="X22" s="50">
        <f t="shared" si="0"/>
        <v>1.01967593317454E-2</v>
      </c>
      <c r="Y22" s="26">
        <f t="shared" si="31"/>
        <v>0.44</v>
      </c>
      <c r="Z22" s="27">
        <f t="shared" si="1"/>
        <v>2</v>
      </c>
      <c r="AA22" s="27">
        <f t="shared" si="32"/>
        <v>0.44</v>
      </c>
      <c r="AB22" s="27">
        <f t="shared" si="2"/>
        <v>2</v>
      </c>
      <c r="AC22" s="26">
        <f t="shared" si="33"/>
        <v>0.44</v>
      </c>
      <c r="AD22" s="27">
        <f t="shared" si="3"/>
        <v>2</v>
      </c>
      <c r="AE22" s="27">
        <f t="shared" si="34"/>
        <v>0.44</v>
      </c>
      <c r="AF22" s="18">
        <f t="shared" si="4"/>
        <v>2</v>
      </c>
      <c r="AG22" s="26">
        <f t="shared" si="35"/>
        <v>0.44</v>
      </c>
      <c r="AH22" s="27">
        <f t="shared" si="5"/>
        <v>2</v>
      </c>
      <c r="AI22" s="27">
        <f t="shared" si="36"/>
        <v>0.44</v>
      </c>
      <c r="AJ22" s="18">
        <f t="shared" si="6"/>
        <v>2</v>
      </c>
      <c r="AK22" s="27">
        <f t="shared" si="37"/>
        <v>10.56</v>
      </c>
      <c r="AL22" s="18">
        <f t="shared" si="7"/>
        <v>9.37728E-3</v>
      </c>
      <c r="AM22" s="11">
        <f t="shared" si="38"/>
        <v>0.21398013575911815</v>
      </c>
      <c r="AN22" s="26">
        <f t="shared" si="39"/>
        <v>0.21398013575911815</v>
      </c>
      <c r="AO22" s="11">
        <f t="shared" si="8"/>
        <v>0.29098079999999998</v>
      </c>
      <c r="AP22" s="11">
        <f t="shared" si="9"/>
        <v>0.28782773338269735</v>
      </c>
      <c r="AQ22" s="11">
        <f t="shared" si="10"/>
        <v>1.9359999999999999</v>
      </c>
      <c r="AR22" s="26">
        <f t="shared" si="40"/>
        <v>3.7752872144288183</v>
      </c>
      <c r="AS22" s="18" t="str">
        <f t="shared" si="11"/>
        <v>CUMPLE</v>
      </c>
      <c r="AT22" s="26">
        <f t="shared" si="41"/>
        <v>4.1439039874163406</v>
      </c>
      <c r="AU22" s="18" t="str">
        <f t="shared" si="12"/>
        <v>CUMPLE</v>
      </c>
      <c r="AV22" s="92">
        <f t="shared" si="13"/>
        <v>7.6679198840978522</v>
      </c>
      <c r="AW22" s="56" t="str">
        <f t="shared" si="14"/>
        <v>CUMPLE</v>
      </c>
    </row>
    <row r="23" spans="1:49">
      <c r="A23" s="10">
        <v>160</v>
      </c>
      <c r="B23" s="10">
        <v>110</v>
      </c>
      <c r="C23" s="10">
        <v>10</v>
      </c>
      <c r="D23" s="18">
        <f t="shared" si="15"/>
        <v>1.060287520586555</v>
      </c>
      <c r="E23" s="126">
        <v>0.4</v>
      </c>
      <c r="F23" s="11">
        <f t="shared" si="16"/>
        <v>0.56000000000000005</v>
      </c>
      <c r="G23" s="126">
        <f t="shared" si="17"/>
        <v>0.4</v>
      </c>
      <c r="H23" s="11">
        <f t="shared" si="18"/>
        <v>0.56000000000000005</v>
      </c>
      <c r="I23" s="126">
        <f t="shared" si="19"/>
        <v>0.4</v>
      </c>
      <c r="J23" s="11">
        <f t="shared" si="20"/>
        <v>0.56000000000000005</v>
      </c>
      <c r="K23" s="18">
        <f t="shared" si="21"/>
        <v>0.31360000000000005</v>
      </c>
      <c r="L23" s="73">
        <v>1</v>
      </c>
      <c r="M23" s="126">
        <v>0.15</v>
      </c>
      <c r="N23" s="11">
        <f t="shared" si="22"/>
        <v>0.41</v>
      </c>
      <c r="O23" s="126">
        <f t="shared" si="23"/>
        <v>0.15</v>
      </c>
      <c r="P23" s="11">
        <f t="shared" si="24"/>
        <v>0.41</v>
      </c>
      <c r="Q23" s="128">
        <v>1.4999999999999999E-2</v>
      </c>
      <c r="R23" s="50">
        <f t="shared" si="25"/>
        <v>0.15859668222289086</v>
      </c>
      <c r="S23" s="18">
        <f t="shared" si="26"/>
        <v>1.2544000000000002</v>
      </c>
      <c r="T23" s="21">
        <f t="shared" si="27"/>
        <v>0.17561600000000005</v>
      </c>
      <c r="U23" s="27">
        <f t="shared" si="28"/>
        <v>0.17029414204481894</v>
      </c>
      <c r="V23" s="18">
        <f t="shared" si="29"/>
        <v>0.40870594090756546</v>
      </c>
      <c r="W23" s="49">
        <f t="shared" si="30"/>
        <v>2.3789502333433628E-3</v>
      </c>
      <c r="X23" s="50">
        <f t="shared" si="0"/>
        <v>1.8674759331745398E-2</v>
      </c>
      <c r="Y23" s="26">
        <f t="shared" si="31"/>
        <v>0.56000000000000005</v>
      </c>
      <c r="Z23" s="27">
        <f t="shared" si="1"/>
        <v>3</v>
      </c>
      <c r="AA23" s="27">
        <f t="shared" si="32"/>
        <v>0.56000000000000005</v>
      </c>
      <c r="AB23" s="27">
        <f t="shared" si="2"/>
        <v>3</v>
      </c>
      <c r="AC23" s="26">
        <f t="shared" si="33"/>
        <v>0.56000000000000005</v>
      </c>
      <c r="AD23" s="27">
        <f t="shared" si="3"/>
        <v>3</v>
      </c>
      <c r="AE23" s="27">
        <f t="shared" si="34"/>
        <v>0.56000000000000005</v>
      </c>
      <c r="AF23" s="18">
        <f t="shared" si="4"/>
        <v>3</v>
      </c>
      <c r="AG23" s="26">
        <f t="shared" si="35"/>
        <v>0.56000000000000005</v>
      </c>
      <c r="AH23" s="27">
        <f t="shared" si="5"/>
        <v>3</v>
      </c>
      <c r="AI23" s="27">
        <f t="shared" si="36"/>
        <v>0.56000000000000005</v>
      </c>
      <c r="AJ23" s="18">
        <f t="shared" si="6"/>
        <v>3</v>
      </c>
      <c r="AK23" s="27">
        <f t="shared" si="37"/>
        <v>20.160000000000004</v>
      </c>
      <c r="AL23" s="18">
        <f t="shared" si="7"/>
        <v>1.7902080000000004E-2</v>
      </c>
      <c r="AM23" s="11">
        <f t="shared" si="38"/>
        <v>0.44528278023931084</v>
      </c>
      <c r="AN23" s="26">
        <f t="shared" si="39"/>
        <v>0.44528278023931084</v>
      </c>
      <c r="AO23" s="11">
        <f t="shared" si="8"/>
        <v>0.43747200000000003</v>
      </c>
      <c r="AP23" s="11">
        <f t="shared" si="9"/>
        <v>0.50317022473640716</v>
      </c>
      <c r="AQ23" s="11">
        <f t="shared" si="10"/>
        <v>3.1360000000000006</v>
      </c>
      <c r="AR23" s="26">
        <f t="shared" si="40"/>
        <v>3.4322484741904775</v>
      </c>
      <c r="AS23" s="18" t="str">
        <f t="shared" si="11"/>
        <v>CUMPLE</v>
      </c>
      <c r="AT23" s="26">
        <f t="shared" si="41"/>
        <v>3.7902500050327119</v>
      </c>
      <c r="AU23" s="18" t="str">
        <f t="shared" si="12"/>
        <v>CUMPLE</v>
      </c>
      <c r="AV23" s="92">
        <f t="shared" si="13"/>
        <v>7.1050309105091332</v>
      </c>
      <c r="AW23" s="56" t="str">
        <f t="shared" si="14"/>
        <v>CUMPLE</v>
      </c>
    </row>
    <row r="24" spans="1:49">
      <c r="A24" s="10">
        <v>200</v>
      </c>
      <c r="B24" s="10">
        <v>110</v>
      </c>
      <c r="C24" s="10">
        <v>10</v>
      </c>
      <c r="D24" s="18">
        <f t="shared" si="15"/>
        <v>2.1912608758788812</v>
      </c>
      <c r="E24" s="126">
        <v>0.5</v>
      </c>
      <c r="F24" s="11">
        <f t="shared" si="16"/>
        <v>0.7</v>
      </c>
      <c r="G24" s="126">
        <f t="shared" si="17"/>
        <v>0.5</v>
      </c>
      <c r="H24" s="11">
        <f t="shared" si="18"/>
        <v>0.7</v>
      </c>
      <c r="I24" s="126">
        <f>+E24</f>
        <v>0.5</v>
      </c>
      <c r="J24" s="11">
        <f t="shared" si="20"/>
        <v>0.7</v>
      </c>
      <c r="K24" s="125">
        <f t="shared" si="21"/>
        <v>0.48999999999999994</v>
      </c>
      <c r="L24" s="73">
        <v>1</v>
      </c>
      <c r="M24" s="126">
        <v>0.15</v>
      </c>
      <c r="N24" s="122">
        <f t="shared" si="22"/>
        <v>0.41</v>
      </c>
      <c r="O24" s="126">
        <f t="shared" si="23"/>
        <v>0.15</v>
      </c>
      <c r="P24" s="122">
        <f t="shared" si="24"/>
        <v>0.41</v>
      </c>
      <c r="Q24" s="128">
        <v>1.4999999999999999E-2</v>
      </c>
      <c r="R24" s="120">
        <f t="shared" si="25"/>
        <v>0.15859668222289086</v>
      </c>
      <c r="S24" s="18">
        <f>+(F24*J24)*2+(H24*J24)*2</f>
        <v>1.9599999999999997</v>
      </c>
      <c r="T24" s="21">
        <f>+K24*J24</f>
        <v>0.34299999999999992</v>
      </c>
      <c r="U24" s="27">
        <f>+T24-PI()*(B24/1000)^2/4*F24</f>
        <v>0.33634767755602352</v>
      </c>
      <c r="V24" s="18">
        <f>+U24*$D$2</f>
        <v>0.8072344261344564</v>
      </c>
      <c r="W24" s="49">
        <f t="shared" ref="W24:W29" si="42">+L24*R24*Q24</f>
        <v>2.3789502333433628E-3</v>
      </c>
      <c r="X24" s="50">
        <f t="shared" ref="X24:X29" si="43">+W24*$D$3</f>
        <v>1.8674759331745398E-2</v>
      </c>
      <c r="Y24" s="129">
        <f t="shared" si="31"/>
        <v>0.7</v>
      </c>
      <c r="Z24" s="124">
        <f t="shared" si="1"/>
        <v>3</v>
      </c>
      <c r="AA24" s="124">
        <f t="shared" si="32"/>
        <v>0.7</v>
      </c>
      <c r="AB24" s="124">
        <f t="shared" si="2"/>
        <v>3</v>
      </c>
      <c r="AC24" s="129">
        <f t="shared" si="33"/>
        <v>0.7</v>
      </c>
      <c r="AD24" s="27">
        <f t="shared" ref="AD24:AD29" si="44">+ROUND((J24-2*($I$2/1000))/($I$4/1000),0)+1</f>
        <v>3</v>
      </c>
      <c r="AE24" s="27">
        <f t="shared" ref="AE24:AE29" si="45">+J24</f>
        <v>0.7</v>
      </c>
      <c r="AF24" s="125">
        <f t="shared" si="4"/>
        <v>3</v>
      </c>
      <c r="AG24" s="129">
        <f t="shared" si="35"/>
        <v>0.7</v>
      </c>
      <c r="AH24" s="27">
        <f t="shared" ref="AH24:AH29" si="46">+ROUND((J24-2*($I$2/1000))/($I$4/1000),0)+1</f>
        <v>3</v>
      </c>
      <c r="AI24" s="27">
        <f t="shared" ref="AI24:AI29" si="47">+J24</f>
        <v>0.7</v>
      </c>
      <c r="AJ24" s="125">
        <f t="shared" si="6"/>
        <v>3</v>
      </c>
      <c r="AK24" s="27">
        <f t="shared" ref="AK24:AK29" si="48">+(Y24*Z24+AA24*AB24)*2+(AC24*AD24+AE24*AF24)*2+(AG24*AH24+AI24*AJ24)*2</f>
        <v>25.199999999999996</v>
      </c>
      <c r="AL24" s="18">
        <f t="shared" ref="AL24:AL29" si="49">+AK24*$I$5/1000</f>
        <v>2.2377599999999997E-2</v>
      </c>
      <c r="AM24" s="11">
        <f t="shared" si="38"/>
        <v>0.84828678546620184</v>
      </c>
      <c r="AN24" s="26">
        <f t="shared" ref="AN24:AN29" si="50">+AM24</f>
        <v>0.84828678546620184</v>
      </c>
      <c r="AO24" s="11">
        <f t="shared" ref="AO24:AO29" si="51">+K24*($D$9-(J24/2-B24/2000))*$D$4</f>
        <v>0.62180999999999997</v>
      </c>
      <c r="AP24" s="11">
        <f t="shared" ref="AP24:AP29" si="52">+$D$5*(AN24+AO24)</f>
        <v>0.83795516771573486</v>
      </c>
      <c r="AQ24" s="11">
        <f t="shared" ref="AQ24:AQ29" si="53">+(H24*J24)*$D$6</f>
        <v>4.8999999999999995</v>
      </c>
      <c r="AR24" s="26">
        <f t="shared" ref="AR24:AR29" si="54">+(AP24+AQ24)/D24</f>
        <v>2.6185632349294461</v>
      </c>
      <c r="AS24" s="18" t="str">
        <f t="shared" ref="AS24:AS29" si="55">+IF(AR24&gt;$N$2,"CUMPLE",IF(AR24=$N$2,"CUMPLE","NO CUMPLE"))</f>
        <v>CUMPLE</v>
      </c>
      <c r="AT24" s="26">
        <f t="shared" ref="AT24:AT29" si="56">+(AN24*H24/2+AO24*H24/2+AQ24*J24/2)/(D24*J24/2)</f>
        <v>2.9070462835289992</v>
      </c>
      <c r="AU24" s="18" t="str">
        <f t="shared" ref="AU24:AU29" si="57">+IF(AT24&gt;$N$3,"CUMPLE",IF(AT24=$N$3,"CUMPLE","NO CUMPLE"))</f>
        <v>CUMPLE</v>
      </c>
      <c r="AV24" s="92">
        <f t="shared" ref="AV24:AV29" si="58">+$D$7/((AN24+AO24)/K24)</f>
        <v>6.6662277592098755</v>
      </c>
      <c r="AW24" s="56" t="str">
        <f t="shared" ref="AW24:AW29" si="59">+IF(AV24&gt;$N$4,"CUMPLE",IF(AV24=$N$4,"CUMPLE","NO CUMPLE"))</f>
        <v>CUMPLE</v>
      </c>
    </row>
    <row r="25" spans="1:49">
      <c r="A25" s="10">
        <v>200</v>
      </c>
      <c r="B25" s="10">
        <v>160</v>
      </c>
      <c r="C25" s="10">
        <v>10</v>
      </c>
      <c r="D25" s="18">
        <f t="shared" si="15"/>
        <v>1.1309733552923258</v>
      </c>
      <c r="E25" s="126">
        <v>0.5</v>
      </c>
      <c r="F25" s="11">
        <f t="shared" si="16"/>
        <v>0.7</v>
      </c>
      <c r="G25" s="126">
        <f t="shared" si="17"/>
        <v>0.5</v>
      </c>
      <c r="H25" s="11">
        <f t="shared" si="18"/>
        <v>0.7</v>
      </c>
      <c r="I25" s="126">
        <f t="shared" si="19"/>
        <v>0.5</v>
      </c>
      <c r="J25" s="11">
        <f t="shared" si="20"/>
        <v>0.7</v>
      </c>
      <c r="K25" s="125">
        <f t="shared" si="21"/>
        <v>0.48999999999999994</v>
      </c>
      <c r="L25" s="73">
        <v>1</v>
      </c>
      <c r="M25" s="126">
        <v>0.15</v>
      </c>
      <c r="N25" s="122">
        <f t="shared" si="22"/>
        <v>0.45999999999999996</v>
      </c>
      <c r="O25" s="126">
        <f t="shared" si="23"/>
        <v>0.15</v>
      </c>
      <c r="P25" s="122">
        <f t="shared" si="24"/>
        <v>0.45999999999999996</v>
      </c>
      <c r="Q25" s="128">
        <v>1.4999999999999999E-2</v>
      </c>
      <c r="R25" s="120">
        <f t="shared" si="25"/>
        <v>0.19149380701702529</v>
      </c>
      <c r="S25" s="18">
        <f t="shared" si="26"/>
        <v>1.9599999999999997</v>
      </c>
      <c r="T25" s="21">
        <f t="shared" si="27"/>
        <v>0.34299999999999992</v>
      </c>
      <c r="U25" s="27">
        <f t="shared" si="28"/>
        <v>0.32892566491191766</v>
      </c>
      <c r="V25" s="18">
        <f t="shared" si="29"/>
        <v>0.78942159578860238</v>
      </c>
      <c r="W25" s="49">
        <f t="shared" si="42"/>
        <v>2.8724071052553791E-3</v>
      </c>
      <c r="X25" s="50">
        <f t="shared" si="43"/>
        <v>2.2548395776254726E-2</v>
      </c>
      <c r="Y25" s="129">
        <f t="shared" si="31"/>
        <v>0.7</v>
      </c>
      <c r="Z25" s="124">
        <f t="shared" si="1"/>
        <v>3</v>
      </c>
      <c r="AA25" s="124">
        <f t="shared" si="32"/>
        <v>0.7</v>
      </c>
      <c r="AB25" s="124">
        <f t="shared" si="2"/>
        <v>3</v>
      </c>
      <c r="AC25" s="129">
        <f t="shared" si="33"/>
        <v>0.7</v>
      </c>
      <c r="AD25" s="27">
        <f t="shared" si="44"/>
        <v>3</v>
      </c>
      <c r="AE25" s="27">
        <f t="shared" si="45"/>
        <v>0.7</v>
      </c>
      <c r="AF25" s="125">
        <f t="shared" si="4"/>
        <v>3</v>
      </c>
      <c r="AG25" s="129">
        <f t="shared" si="35"/>
        <v>0.7</v>
      </c>
      <c r="AH25" s="27">
        <f t="shared" si="46"/>
        <v>3</v>
      </c>
      <c r="AI25" s="27">
        <f t="shared" si="47"/>
        <v>0.7</v>
      </c>
      <c r="AJ25" s="125">
        <f t="shared" si="6"/>
        <v>3</v>
      </c>
      <c r="AK25" s="27">
        <f t="shared" si="48"/>
        <v>25.199999999999996</v>
      </c>
      <c r="AL25" s="18">
        <f t="shared" si="49"/>
        <v>2.2377599999999997E-2</v>
      </c>
      <c r="AM25" s="11">
        <f t="shared" si="38"/>
        <v>0.83434759156485705</v>
      </c>
      <c r="AN25" s="26">
        <f t="shared" si="50"/>
        <v>0.83434759156485705</v>
      </c>
      <c r="AO25" s="11">
        <f t="shared" si="51"/>
        <v>0.64385999999999999</v>
      </c>
      <c r="AP25" s="11">
        <f t="shared" si="52"/>
        <v>0.84257832719196835</v>
      </c>
      <c r="AQ25" s="11">
        <f t="shared" si="53"/>
        <v>4.8999999999999995</v>
      </c>
      <c r="AR25" s="26">
        <f t="shared" si="54"/>
        <v>5.0775540381388273</v>
      </c>
      <c r="AS25" s="18" t="str">
        <f t="shared" si="55"/>
        <v>CUMPLE</v>
      </c>
      <c r="AT25" s="26">
        <f t="shared" si="56"/>
        <v>5.6395737014655518</v>
      </c>
      <c r="AU25" s="18" t="str">
        <f t="shared" si="57"/>
        <v>CUMPLE</v>
      </c>
      <c r="AV25" s="92">
        <f t="shared" si="58"/>
        <v>6.6296507039485197</v>
      </c>
      <c r="AW25" s="56" t="str">
        <f t="shared" si="59"/>
        <v>CUMPLE</v>
      </c>
    </row>
    <row r="26" spans="1:49">
      <c r="A26" s="10">
        <v>250</v>
      </c>
      <c r="B26" s="10">
        <v>160</v>
      </c>
      <c r="C26" s="10">
        <v>10</v>
      </c>
      <c r="D26" s="18">
        <f t="shared" si="15"/>
        <v>2.8981192229365842</v>
      </c>
      <c r="E26" s="126">
        <v>0.6</v>
      </c>
      <c r="F26" s="11">
        <f t="shared" si="16"/>
        <v>0.85</v>
      </c>
      <c r="G26" s="126">
        <f t="shared" si="17"/>
        <v>0.6</v>
      </c>
      <c r="H26" s="11">
        <f t="shared" si="18"/>
        <v>0.85</v>
      </c>
      <c r="I26" s="126">
        <f t="shared" si="19"/>
        <v>0.6</v>
      </c>
      <c r="J26" s="11">
        <f t="shared" si="20"/>
        <v>0.85</v>
      </c>
      <c r="K26" s="125">
        <f t="shared" si="21"/>
        <v>0.72249999999999992</v>
      </c>
      <c r="L26" s="127">
        <v>2</v>
      </c>
      <c r="M26" s="126">
        <v>0.15</v>
      </c>
      <c r="N26" s="122">
        <f t="shared" si="22"/>
        <v>0.45999999999999996</v>
      </c>
      <c r="O26" s="126">
        <f t="shared" si="23"/>
        <v>0.15</v>
      </c>
      <c r="P26" s="122">
        <f t="shared" si="24"/>
        <v>0.45999999999999996</v>
      </c>
      <c r="Q26" s="128">
        <v>1.4999999999999999E-2</v>
      </c>
      <c r="R26" s="120">
        <f t="shared" si="25"/>
        <v>0.19149380701702529</v>
      </c>
      <c r="S26" s="18">
        <f t="shared" si="26"/>
        <v>2.8899999999999997</v>
      </c>
      <c r="T26" s="21">
        <f t="shared" si="27"/>
        <v>0.61412499999999992</v>
      </c>
      <c r="U26" s="27">
        <f t="shared" si="28"/>
        <v>0.59703473596447143</v>
      </c>
      <c r="V26" s="18">
        <f t="shared" si="29"/>
        <v>1.4328833663147313</v>
      </c>
      <c r="W26" s="49">
        <f t="shared" si="42"/>
        <v>5.7448142105107581E-3</v>
      </c>
      <c r="X26" s="50">
        <f t="shared" si="43"/>
        <v>4.5096791552509452E-2</v>
      </c>
      <c r="Y26" s="129">
        <f t="shared" si="31"/>
        <v>0.85</v>
      </c>
      <c r="Z26" s="124">
        <f t="shared" si="1"/>
        <v>4</v>
      </c>
      <c r="AA26" s="124">
        <f t="shared" si="32"/>
        <v>0.85</v>
      </c>
      <c r="AB26" s="124">
        <f t="shared" si="2"/>
        <v>4</v>
      </c>
      <c r="AC26" s="129">
        <f t="shared" si="33"/>
        <v>0.85</v>
      </c>
      <c r="AD26" s="27">
        <f t="shared" si="44"/>
        <v>4</v>
      </c>
      <c r="AE26" s="27">
        <f t="shared" si="45"/>
        <v>0.85</v>
      </c>
      <c r="AF26" s="125">
        <f t="shared" si="4"/>
        <v>4</v>
      </c>
      <c r="AG26" s="129">
        <f t="shared" si="35"/>
        <v>0.85</v>
      </c>
      <c r="AH26" s="27">
        <f t="shared" si="46"/>
        <v>4</v>
      </c>
      <c r="AI26" s="27">
        <f t="shared" si="47"/>
        <v>0.85</v>
      </c>
      <c r="AJ26" s="125">
        <f t="shared" si="6"/>
        <v>4</v>
      </c>
      <c r="AK26" s="27">
        <f t="shared" si="48"/>
        <v>40.799999999999997</v>
      </c>
      <c r="AL26" s="18">
        <f t="shared" si="49"/>
        <v>3.6230399999999996E-2</v>
      </c>
      <c r="AM26" s="11">
        <f t="shared" si="38"/>
        <v>1.5142105578672407</v>
      </c>
      <c r="AN26" s="26">
        <f t="shared" si="50"/>
        <v>1.5142105578672407</v>
      </c>
      <c r="AO26" s="11">
        <f t="shared" si="51"/>
        <v>0.85182749999999996</v>
      </c>
      <c r="AP26" s="11">
        <f t="shared" si="52"/>
        <v>1.348641692984327</v>
      </c>
      <c r="AQ26" s="11">
        <f t="shared" si="53"/>
        <v>7.2249999999999996</v>
      </c>
      <c r="AR26" s="26">
        <f t="shared" si="54"/>
        <v>2.9583467875061715</v>
      </c>
      <c r="AS26" s="18" t="str">
        <f t="shared" si="55"/>
        <v>CUMPLE</v>
      </c>
      <c r="AT26" s="26">
        <f t="shared" si="56"/>
        <v>3.3094007941291337</v>
      </c>
      <c r="AU26" s="18" t="str">
        <f t="shared" si="57"/>
        <v>CUMPLE</v>
      </c>
      <c r="AV26" s="92">
        <f t="shared" si="58"/>
        <v>6.1072559471107182</v>
      </c>
      <c r="AW26" s="56" t="str">
        <f t="shared" si="59"/>
        <v>CUMPLE</v>
      </c>
    </row>
    <row r="27" spans="1:49">
      <c r="A27" s="10">
        <v>250</v>
      </c>
      <c r="B27" s="10">
        <v>200</v>
      </c>
      <c r="C27" s="10">
        <v>10</v>
      </c>
      <c r="D27" s="18">
        <f t="shared" si="15"/>
        <v>1.7671458676442582</v>
      </c>
      <c r="E27" s="126">
        <v>0.6</v>
      </c>
      <c r="F27" s="11">
        <f t="shared" si="16"/>
        <v>0.85</v>
      </c>
      <c r="G27" s="126">
        <f t="shared" si="17"/>
        <v>0.6</v>
      </c>
      <c r="H27" s="11">
        <f t="shared" si="18"/>
        <v>0.85</v>
      </c>
      <c r="I27" s="126">
        <f t="shared" si="19"/>
        <v>0.6</v>
      </c>
      <c r="J27" s="11">
        <f t="shared" si="20"/>
        <v>0.85</v>
      </c>
      <c r="K27" s="125">
        <f t="shared" si="21"/>
        <v>0.72249999999999992</v>
      </c>
      <c r="L27" s="127">
        <v>2</v>
      </c>
      <c r="M27" s="126">
        <v>0.15</v>
      </c>
      <c r="N27" s="122">
        <f t="shared" si="22"/>
        <v>0.5</v>
      </c>
      <c r="O27" s="126">
        <f t="shared" si="23"/>
        <v>0.15</v>
      </c>
      <c r="P27" s="122">
        <f t="shared" si="24"/>
        <v>0.5</v>
      </c>
      <c r="Q27" s="128">
        <v>1.4999999999999999E-2</v>
      </c>
      <c r="R27" s="120">
        <f t="shared" si="25"/>
        <v>0.21858407346410208</v>
      </c>
      <c r="S27" s="18">
        <f t="shared" si="26"/>
        <v>2.8899999999999997</v>
      </c>
      <c r="T27" s="21">
        <f t="shared" si="27"/>
        <v>0.61412499999999992</v>
      </c>
      <c r="U27" s="27">
        <f t="shared" si="28"/>
        <v>0.58742146244448668</v>
      </c>
      <c r="V27" s="18">
        <f t="shared" si="29"/>
        <v>1.4098115098667681</v>
      </c>
      <c r="W27" s="49">
        <f t="shared" si="42"/>
        <v>6.5575222039230621E-3</v>
      </c>
      <c r="X27" s="50">
        <f t="shared" si="43"/>
        <v>5.1476549300796037E-2</v>
      </c>
      <c r="Y27" s="129">
        <f t="shared" si="31"/>
        <v>0.85</v>
      </c>
      <c r="Z27" s="124">
        <f t="shared" si="1"/>
        <v>4</v>
      </c>
      <c r="AA27" s="124">
        <f t="shared" si="32"/>
        <v>0.85</v>
      </c>
      <c r="AB27" s="124">
        <f t="shared" si="2"/>
        <v>4</v>
      </c>
      <c r="AC27" s="129">
        <f t="shared" si="33"/>
        <v>0.85</v>
      </c>
      <c r="AD27" s="27">
        <f t="shared" si="44"/>
        <v>4</v>
      </c>
      <c r="AE27" s="27">
        <f t="shared" si="45"/>
        <v>0.85</v>
      </c>
      <c r="AF27" s="125">
        <f t="shared" si="4"/>
        <v>4</v>
      </c>
      <c r="AG27" s="129">
        <f t="shared" si="35"/>
        <v>0.85</v>
      </c>
      <c r="AH27" s="27">
        <f t="shared" si="46"/>
        <v>4</v>
      </c>
      <c r="AI27" s="27">
        <f t="shared" si="47"/>
        <v>0.85</v>
      </c>
      <c r="AJ27" s="125">
        <f t="shared" si="6"/>
        <v>4</v>
      </c>
      <c r="AK27" s="27">
        <f t="shared" si="48"/>
        <v>40.799999999999997</v>
      </c>
      <c r="AL27" s="18">
        <f t="shared" si="49"/>
        <v>3.6230399999999996E-2</v>
      </c>
      <c r="AM27" s="11">
        <f t="shared" si="38"/>
        <v>1.4975184591675641</v>
      </c>
      <c r="AN27" s="26">
        <f t="shared" si="50"/>
        <v>1.4975184591675641</v>
      </c>
      <c r="AO27" s="11">
        <f t="shared" si="51"/>
        <v>0.87783750000000005</v>
      </c>
      <c r="AP27" s="11">
        <f t="shared" si="52"/>
        <v>1.3539528967255112</v>
      </c>
      <c r="AQ27" s="11">
        <f t="shared" si="53"/>
        <v>7.2249999999999996</v>
      </c>
      <c r="AR27" s="26">
        <f t="shared" si="54"/>
        <v>4.8546942580138657</v>
      </c>
      <c r="AS27" s="18" t="str">
        <f t="shared" si="55"/>
        <v>CUMPLE</v>
      </c>
      <c r="AT27" s="26">
        <f t="shared" si="56"/>
        <v>5.4326901558871192</v>
      </c>
      <c r="AU27" s="18" t="str">
        <f t="shared" si="57"/>
        <v>CUMPLE</v>
      </c>
      <c r="AV27" s="92">
        <f t="shared" si="58"/>
        <v>6.0832987764343143</v>
      </c>
      <c r="AW27" s="56" t="str">
        <f t="shared" si="59"/>
        <v>CUMPLE</v>
      </c>
    </row>
    <row r="28" spans="1:49">
      <c r="A28" s="10">
        <v>315</v>
      </c>
      <c r="B28" s="10">
        <v>200</v>
      </c>
      <c r="C28" s="10">
        <v>10</v>
      </c>
      <c r="D28" s="18">
        <f t="shared" si="15"/>
        <v>4.6515206227213879</v>
      </c>
      <c r="E28" s="126">
        <v>0.7</v>
      </c>
      <c r="F28" s="11">
        <f t="shared" si="16"/>
        <v>1.0149999999999999</v>
      </c>
      <c r="G28" s="126">
        <f t="shared" si="17"/>
        <v>0.7</v>
      </c>
      <c r="H28" s="11">
        <f t="shared" si="18"/>
        <v>1.0149999999999999</v>
      </c>
      <c r="I28" s="126">
        <f t="shared" si="19"/>
        <v>0.7</v>
      </c>
      <c r="J28" s="11">
        <f t="shared" si="20"/>
        <v>1.0149999999999999</v>
      </c>
      <c r="K28" s="125">
        <f t="shared" si="21"/>
        <v>1.0302249999999997</v>
      </c>
      <c r="L28" s="127">
        <v>2</v>
      </c>
      <c r="M28" s="126">
        <v>0.15</v>
      </c>
      <c r="N28" s="122">
        <f t="shared" si="22"/>
        <v>0.5</v>
      </c>
      <c r="O28" s="126">
        <f t="shared" si="23"/>
        <v>0.15</v>
      </c>
      <c r="P28" s="122">
        <f t="shared" si="24"/>
        <v>0.5</v>
      </c>
      <c r="Q28" s="128">
        <v>1.4999999999999999E-2</v>
      </c>
      <c r="R28" s="120">
        <f t="shared" si="25"/>
        <v>0.21858407346410208</v>
      </c>
      <c r="S28" s="18">
        <f t="shared" si="26"/>
        <v>4.1208999999999989</v>
      </c>
      <c r="T28" s="21">
        <f t="shared" si="27"/>
        <v>1.0456783749999996</v>
      </c>
      <c r="U28" s="27">
        <f t="shared" si="28"/>
        <v>1.0137912095660633</v>
      </c>
      <c r="V28" s="18">
        <f t="shared" si="29"/>
        <v>2.4330989029585517</v>
      </c>
      <c r="W28" s="49">
        <f t="shared" si="42"/>
        <v>6.5575222039230621E-3</v>
      </c>
      <c r="X28" s="50">
        <f t="shared" si="43"/>
        <v>5.1476549300796037E-2</v>
      </c>
      <c r="Y28" s="129">
        <f t="shared" si="31"/>
        <v>1.0149999999999999</v>
      </c>
      <c r="Z28" s="124">
        <f t="shared" si="1"/>
        <v>5</v>
      </c>
      <c r="AA28" s="124">
        <f t="shared" si="32"/>
        <v>1.0149999999999999</v>
      </c>
      <c r="AB28" s="124">
        <f t="shared" si="2"/>
        <v>5</v>
      </c>
      <c r="AC28" s="129">
        <f t="shared" si="33"/>
        <v>1.0149999999999999</v>
      </c>
      <c r="AD28" s="27">
        <f t="shared" si="44"/>
        <v>5</v>
      </c>
      <c r="AE28" s="27">
        <f t="shared" si="45"/>
        <v>1.0149999999999999</v>
      </c>
      <c r="AF28" s="125">
        <f t="shared" si="4"/>
        <v>5</v>
      </c>
      <c r="AG28" s="129">
        <f t="shared" si="35"/>
        <v>1.0149999999999999</v>
      </c>
      <c r="AH28" s="27">
        <f t="shared" si="46"/>
        <v>5</v>
      </c>
      <c r="AI28" s="27">
        <f t="shared" si="47"/>
        <v>1.0149999999999999</v>
      </c>
      <c r="AJ28" s="125">
        <f t="shared" si="6"/>
        <v>5</v>
      </c>
      <c r="AK28" s="27">
        <f t="shared" si="48"/>
        <v>60.899999999999991</v>
      </c>
      <c r="AL28" s="18">
        <f t="shared" si="49"/>
        <v>5.4079199999999994E-2</v>
      </c>
      <c r="AM28" s="11">
        <f t="shared" si="38"/>
        <v>2.5386546522593476</v>
      </c>
      <c r="AN28" s="26">
        <f t="shared" si="50"/>
        <v>2.5386546522593476</v>
      </c>
      <c r="AO28" s="11">
        <f t="shared" si="51"/>
        <v>1.0987349624999998</v>
      </c>
      <c r="AP28" s="11">
        <f t="shared" si="52"/>
        <v>2.0733120804128276</v>
      </c>
      <c r="AQ28" s="11">
        <f t="shared" si="53"/>
        <v>10.302249999999997</v>
      </c>
      <c r="AR28" s="26">
        <f t="shared" si="54"/>
        <v>2.6605411615207375</v>
      </c>
      <c r="AS28" s="18" t="str">
        <f t="shared" si="55"/>
        <v>CUMPLE</v>
      </c>
      <c r="AT28" s="26">
        <f t="shared" si="56"/>
        <v>2.9967919623247661</v>
      </c>
      <c r="AU28" s="18" t="str">
        <f t="shared" si="57"/>
        <v>CUMPLE</v>
      </c>
      <c r="AV28" s="92">
        <f t="shared" si="58"/>
        <v>5.6646392556886447</v>
      </c>
      <c r="AW28" s="56" t="str">
        <f t="shared" si="59"/>
        <v>CUMPLE</v>
      </c>
    </row>
    <row r="29" spans="1:49">
      <c r="A29" s="10">
        <v>315</v>
      </c>
      <c r="B29" s="10">
        <v>250</v>
      </c>
      <c r="C29" s="10">
        <v>10</v>
      </c>
      <c r="D29" s="18">
        <f t="shared" si="15"/>
        <v>2.884374755077129</v>
      </c>
      <c r="E29" s="126">
        <v>0.7</v>
      </c>
      <c r="F29" s="11">
        <f t="shared" si="16"/>
        <v>1.0149999999999999</v>
      </c>
      <c r="G29" s="126">
        <f t="shared" si="17"/>
        <v>0.7</v>
      </c>
      <c r="H29" s="11">
        <f t="shared" si="18"/>
        <v>1.0149999999999999</v>
      </c>
      <c r="I29" s="126">
        <f t="shared" si="19"/>
        <v>0.7</v>
      </c>
      <c r="J29" s="11">
        <f t="shared" si="20"/>
        <v>1.0149999999999999</v>
      </c>
      <c r="K29" s="125">
        <f t="shared" si="21"/>
        <v>1.0302249999999997</v>
      </c>
      <c r="L29" s="127">
        <v>2</v>
      </c>
      <c r="M29" s="126">
        <v>0.15</v>
      </c>
      <c r="N29" s="122">
        <f t="shared" si="22"/>
        <v>0.55000000000000004</v>
      </c>
      <c r="O29" s="126">
        <f t="shared" si="23"/>
        <v>0.15</v>
      </c>
      <c r="P29" s="122">
        <f t="shared" si="24"/>
        <v>0.55000000000000004</v>
      </c>
      <c r="Q29" s="128">
        <v>1.4999999999999999E-2</v>
      </c>
      <c r="R29" s="120">
        <f t="shared" si="25"/>
        <v>0.25341261478765953</v>
      </c>
      <c r="S29" s="18">
        <f t="shared" si="26"/>
        <v>4.1208999999999989</v>
      </c>
      <c r="T29" s="21">
        <f t="shared" si="27"/>
        <v>1.0456783749999996</v>
      </c>
      <c r="U29" s="27">
        <f t="shared" si="28"/>
        <v>0.995854679009474</v>
      </c>
      <c r="V29" s="18">
        <f t="shared" si="29"/>
        <v>2.3900512296227374</v>
      </c>
      <c r="W29" s="49">
        <f t="shared" si="42"/>
        <v>7.6023784436297856E-3</v>
      </c>
      <c r="X29" s="50">
        <f t="shared" si="43"/>
        <v>5.9678670782493816E-2</v>
      </c>
      <c r="Y29" s="129">
        <f t="shared" si="31"/>
        <v>1.0149999999999999</v>
      </c>
      <c r="Z29" s="124">
        <f t="shared" si="1"/>
        <v>5</v>
      </c>
      <c r="AA29" s="124">
        <f t="shared" si="32"/>
        <v>1.0149999999999999</v>
      </c>
      <c r="AB29" s="124">
        <f t="shared" si="2"/>
        <v>5</v>
      </c>
      <c r="AC29" s="129">
        <f t="shared" si="33"/>
        <v>1.0149999999999999</v>
      </c>
      <c r="AD29" s="27">
        <f t="shared" si="44"/>
        <v>5</v>
      </c>
      <c r="AE29" s="27">
        <f t="shared" si="45"/>
        <v>1.0149999999999999</v>
      </c>
      <c r="AF29" s="125">
        <f t="shared" si="4"/>
        <v>5</v>
      </c>
      <c r="AG29" s="129">
        <f t="shared" si="35"/>
        <v>1.0149999999999999</v>
      </c>
      <c r="AH29" s="27">
        <f t="shared" si="46"/>
        <v>5</v>
      </c>
      <c r="AI29" s="27">
        <f t="shared" si="47"/>
        <v>1.0149999999999999</v>
      </c>
      <c r="AJ29" s="125">
        <f t="shared" si="6"/>
        <v>5</v>
      </c>
      <c r="AK29" s="27">
        <f t="shared" si="48"/>
        <v>60.899999999999991</v>
      </c>
      <c r="AL29" s="18">
        <f t="shared" si="49"/>
        <v>5.4079199999999994E-2</v>
      </c>
      <c r="AM29" s="11">
        <f t="shared" si="38"/>
        <v>2.5038091004052312</v>
      </c>
      <c r="AN29" s="26">
        <f t="shared" si="50"/>
        <v>2.5038091004052312</v>
      </c>
      <c r="AO29" s="11">
        <f t="shared" si="51"/>
        <v>1.1450950874999999</v>
      </c>
      <c r="AP29" s="11">
        <f t="shared" si="52"/>
        <v>2.0798753871059814</v>
      </c>
      <c r="AQ29" s="11">
        <f t="shared" si="53"/>
        <v>10.302249999999997</v>
      </c>
      <c r="AR29" s="26">
        <f t="shared" si="54"/>
        <v>4.2928282343723669</v>
      </c>
      <c r="AS29" s="18" t="str">
        <f t="shared" si="55"/>
        <v>CUMPLE</v>
      </c>
      <c r="AT29" s="26">
        <f t="shared" si="56"/>
        <v>4.8368035961166811</v>
      </c>
      <c r="AU29" s="18" t="str">
        <f t="shared" si="57"/>
        <v>CUMPLE</v>
      </c>
      <c r="AV29" s="92">
        <f t="shared" si="58"/>
        <v>5.6467637786424474</v>
      </c>
      <c r="AW29" s="56" t="str">
        <f t="shared" si="59"/>
        <v>CUMPLE</v>
      </c>
    </row>
  </sheetData>
  <mergeCells count="13">
    <mergeCell ref="AC15:AF15"/>
    <mergeCell ref="E15:K15"/>
    <mergeCell ref="L15:R15"/>
    <mergeCell ref="U15:V15"/>
    <mergeCell ref="W15:X15"/>
    <mergeCell ref="Y15:AB15"/>
    <mergeCell ref="AG15:AJ15"/>
    <mergeCell ref="AK15:AL15"/>
    <mergeCell ref="AN15:AQ15"/>
    <mergeCell ref="AR15:AW15"/>
    <mergeCell ref="AR16:AS16"/>
    <mergeCell ref="AT16:AU16"/>
    <mergeCell ref="AV16:AW16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J15" sqref="J15"/>
    </sheetView>
  </sheetViews>
  <sheetFormatPr baseColWidth="10" defaultRowHeight="15"/>
  <cols>
    <col min="10" max="10" width="29.5703125" bestFit="1" customWidth="1"/>
    <col min="12" max="12" width="12.7109375" bestFit="1" customWidth="1"/>
  </cols>
  <sheetData>
    <row r="1" spans="1:13" ht="16.5">
      <c r="A1" s="162" t="s">
        <v>68</v>
      </c>
      <c r="B1" s="162"/>
      <c r="C1" s="162"/>
      <c r="D1" s="162"/>
      <c r="E1" s="162"/>
      <c r="F1" s="162"/>
      <c r="G1" s="162"/>
      <c r="H1" s="162"/>
    </row>
    <row r="2" spans="1:13">
      <c r="J2" s="167" t="s">
        <v>152</v>
      </c>
      <c r="K2" s="30">
        <f>+L7*K3</f>
        <v>10</v>
      </c>
      <c r="L2" s="30" t="s">
        <v>1</v>
      </c>
      <c r="M2" s="31"/>
    </row>
    <row r="3" spans="1:13">
      <c r="J3" s="167" t="s">
        <v>151</v>
      </c>
      <c r="K3" s="30">
        <v>0.5</v>
      </c>
      <c r="L3" s="31"/>
      <c r="M3" s="31"/>
    </row>
    <row r="4" spans="1:13">
      <c r="J4" s="5" t="s">
        <v>65</v>
      </c>
      <c r="K4" s="5"/>
      <c r="L4" s="31"/>
      <c r="M4" s="31"/>
    </row>
    <row r="5" spans="1:13">
      <c r="J5" s="167" t="s">
        <v>153</v>
      </c>
      <c r="K5" s="31"/>
      <c r="L5" s="30">
        <v>0.2</v>
      </c>
      <c r="M5" s="30" t="s">
        <v>66</v>
      </c>
    </row>
    <row r="6" spans="1:13">
      <c r="L6" s="32">
        <f>+L5*1000000</f>
        <v>200000</v>
      </c>
      <c r="M6" s="30" t="s">
        <v>67</v>
      </c>
    </row>
    <row r="7" spans="1:13">
      <c r="L7" s="33">
        <f>+L6/10000</f>
        <v>20</v>
      </c>
      <c r="M7" s="34" t="s">
        <v>1</v>
      </c>
    </row>
  </sheetData>
  <mergeCells count="1">
    <mergeCell ref="A1:H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topLeftCell="A10" zoomScale="85" zoomScaleNormal="85" workbookViewId="0">
      <selection activeCell="J30" sqref="J30"/>
    </sheetView>
  </sheetViews>
  <sheetFormatPr baseColWidth="10" defaultRowHeight="15"/>
  <cols>
    <col min="10" max="11" width="15.7109375" customWidth="1"/>
    <col min="12" max="15" width="12.7109375" style="12" customWidth="1"/>
    <col min="16" max="17" width="14.7109375" customWidth="1"/>
  </cols>
  <sheetData>
    <row r="1" spans="1:17" s="12" customFormat="1"/>
    <row r="2" spans="1:17" ht="20.25" customHeight="1">
      <c r="A2" s="35" t="s">
        <v>7</v>
      </c>
      <c r="B2" s="36" t="s">
        <v>14</v>
      </c>
      <c r="C2" s="35" t="s">
        <v>15</v>
      </c>
      <c r="D2" s="36" t="s">
        <v>8</v>
      </c>
      <c r="E2" s="136" t="s">
        <v>13</v>
      </c>
      <c r="F2" s="159"/>
      <c r="G2" s="148"/>
      <c r="H2" s="36" t="s">
        <v>22</v>
      </c>
      <c r="I2" s="36" t="s">
        <v>60</v>
      </c>
      <c r="J2" s="36" t="s">
        <v>25</v>
      </c>
      <c r="K2" s="36" t="s">
        <v>26</v>
      </c>
      <c r="L2" s="163" t="s">
        <v>75</v>
      </c>
      <c r="M2" s="164"/>
      <c r="N2" s="164"/>
      <c r="O2" s="165"/>
      <c r="P2" s="35" t="s">
        <v>55</v>
      </c>
      <c r="Q2" s="35" t="s">
        <v>56</v>
      </c>
    </row>
    <row r="3" spans="1:17">
      <c r="A3" s="37" t="s">
        <v>9</v>
      </c>
      <c r="B3" s="38" t="s">
        <v>10</v>
      </c>
      <c r="C3" s="37" t="s">
        <v>11</v>
      </c>
      <c r="D3" s="38" t="s">
        <v>12</v>
      </c>
      <c r="E3" s="36" t="s">
        <v>98</v>
      </c>
      <c r="F3" s="36" t="s">
        <v>99</v>
      </c>
      <c r="G3" s="36" t="s">
        <v>71</v>
      </c>
      <c r="H3" s="38" t="s">
        <v>23</v>
      </c>
      <c r="I3" s="38" t="s">
        <v>24</v>
      </c>
      <c r="J3" s="38" t="s">
        <v>12</v>
      </c>
      <c r="K3" s="38" t="s">
        <v>12</v>
      </c>
      <c r="L3" s="38" t="s">
        <v>76</v>
      </c>
      <c r="M3" s="38" t="s">
        <v>72</v>
      </c>
      <c r="N3" s="38" t="s">
        <v>73</v>
      </c>
      <c r="O3" s="38" t="s">
        <v>74</v>
      </c>
      <c r="P3" s="36" t="s">
        <v>77</v>
      </c>
      <c r="Q3" s="36" t="s">
        <v>77</v>
      </c>
    </row>
    <row r="4" spans="1:17">
      <c r="A4" s="10">
        <f>+'Codos 22,5º'!A18</f>
        <v>90</v>
      </c>
      <c r="B4" s="10">
        <f>+'Codos 22,5º'!B18</f>
        <v>22.5</v>
      </c>
      <c r="C4" s="10">
        <f>+'Codos 22,5º'!C18</f>
        <v>10</v>
      </c>
      <c r="D4" s="11">
        <f>+'Codos 22,5º'!D18</f>
        <v>0.24822220058509589</v>
      </c>
      <c r="E4" s="11">
        <f>+'Codos 22,5º'!F18</f>
        <v>0.22499999999999998</v>
      </c>
      <c r="F4" s="11">
        <f>+'Codos 22,5º'!H18</f>
        <v>8.7790644907257701E-2</v>
      </c>
      <c r="G4" s="11">
        <f>+'Codos 22,5º'!J18</f>
        <v>0.5</v>
      </c>
      <c r="H4" s="11">
        <f>+'Codos 22,5º'!K18</f>
        <v>0.26889532245362885</v>
      </c>
      <c r="I4" s="65">
        <f>+'Codos 22,5º'!N18</f>
        <v>4.6184952656083489E-3</v>
      </c>
      <c r="J4" s="66">
        <f>+'Codos 22,5º'!O18</f>
        <v>1.1084388637460037E-2</v>
      </c>
      <c r="K4" s="65">
        <f>+'Codos 22,5º'!AC18</f>
        <v>2.5610351770574999E-3</v>
      </c>
      <c r="L4" s="11">
        <f>+'Codos 22,5º'!AE18</f>
        <v>1.3645423814517537E-2</v>
      </c>
      <c r="M4" s="11">
        <f>+'Codos 22,5º'!AF18</f>
        <v>1.3861631040271846E-2</v>
      </c>
      <c r="N4" s="11">
        <f>+'Codos 22,5º'!AG18</f>
        <v>1.5679021267229944E-2</v>
      </c>
      <c r="O4" s="11">
        <f>+'Codos 22,5º'!AH18</f>
        <v>0.43895322453628849</v>
      </c>
      <c r="P4" s="11">
        <f>+'Codos 22,5º'!AI18</f>
        <v>1.8315535223355686</v>
      </c>
      <c r="Q4" s="11">
        <f>+'Codos 22,5º'!AK18</f>
        <v>1.8172973851733045</v>
      </c>
    </row>
    <row r="5" spans="1:17">
      <c r="A5" s="10">
        <f>+'Codos 22,5º'!A19</f>
        <v>110</v>
      </c>
      <c r="B5" s="10">
        <f>+'Codos 22,5º'!B19</f>
        <v>22.5</v>
      </c>
      <c r="C5" s="10">
        <f>+'Codos 22,5º'!C19</f>
        <v>10</v>
      </c>
      <c r="D5" s="11">
        <f>+'Codos 22,5º'!D19</f>
        <v>0.37080106507156302</v>
      </c>
      <c r="E5" s="11">
        <f>+'Codos 22,5º'!F19</f>
        <v>0.33</v>
      </c>
      <c r="F5" s="11">
        <f>+'Codos 22,5º'!H19</f>
        <v>0.12875961253064466</v>
      </c>
      <c r="G5" s="11">
        <f>+'Codos 22,5º'!J19</f>
        <v>0.5</v>
      </c>
      <c r="H5" s="11">
        <f>+'Codos 22,5º'!K19</f>
        <v>0.39437980626532232</v>
      </c>
      <c r="I5" s="65">
        <f>+'Codos 22,5º'!N19</f>
        <v>1.0008042588081759E-2</v>
      </c>
      <c r="J5" s="66">
        <f>+'Codos 22,5º'!O19</f>
        <v>2.4019302211396219E-2</v>
      </c>
      <c r="K5" s="65">
        <f>+'Codos 22,5º'!AC19</f>
        <v>4.1369234622782129E-3</v>
      </c>
      <c r="L5" s="11">
        <f>+'Codos 22,5º'!AE19</f>
        <v>2.8156225673674432E-2</v>
      </c>
      <c r="M5" s="11">
        <f>+'Codos 22,5º'!AF19</f>
        <v>3.0192976580912471E-2</v>
      </c>
      <c r="N5" s="11">
        <f>+'Codos 22,5º'!AG19</f>
        <v>3.325904528511453E-2</v>
      </c>
      <c r="O5" s="11">
        <f>+'Codos 22,5º'!AH19</f>
        <v>0.64379806265322337</v>
      </c>
      <c r="P5" s="11">
        <f>+'Codos 22,5º'!AI19</f>
        <v>1.8259308608179665</v>
      </c>
      <c r="Q5" s="11">
        <f>+'Codos 22,5º'!AK19</f>
        <v>1.8380976550326242</v>
      </c>
    </row>
    <row r="6" spans="1:17" s="78" customFormat="1">
      <c r="A6" s="74">
        <f>+'Codos 22,5º'!A20</f>
        <v>125</v>
      </c>
      <c r="B6" s="74">
        <f>+'Codos 22,5º'!B20</f>
        <v>22.5</v>
      </c>
      <c r="C6" s="74">
        <f>+'Codos 22,5º'!C20</f>
        <v>10</v>
      </c>
      <c r="D6" s="75">
        <f>+'Codos 22,5º'!D20</f>
        <v>0.47882368940026215</v>
      </c>
      <c r="E6" s="75">
        <f>+'Codos 22,5º'!F20</f>
        <v>0.375</v>
      </c>
      <c r="F6" s="75">
        <f>+'Codos 22,5º'!H20</f>
        <v>0.1463177415120962</v>
      </c>
      <c r="G6" s="75">
        <f>+'Codos 22,5º'!J20</f>
        <v>0.6</v>
      </c>
      <c r="H6" s="75">
        <f>+'Codos 22,5º'!K20</f>
        <v>0.5377906449072577</v>
      </c>
      <c r="I6" s="76">
        <f>+'Codos 22,5º'!N20</f>
        <v>1.5542064456156048E-2</v>
      </c>
      <c r="J6" s="77">
        <f>+'Codos 22,5º'!O20</f>
        <v>3.7300954694774513E-2</v>
      </c>
      <c r="K6" s="76">
        <f>+'Codos 22,5º'!AC20</f>
        <v>5.638252270687984E-3</v>
      </c>
      <c r="L6" s="75">
        <f>+'Codos 22,5º'!AE20</f>
        <v>4.2939206965462495E-2</v>
      </c>
      <c r="M6" s="75">
        <f>+'Codos 22,5º'!AF20</f>
        <v>3.693044608038884E-2</v>
      </c>
      <c r="N6" s="75">
        <f>+'Codos 22,5º'!AG20</f>
        <v>4.5525702236135258E-2</v>
      </c>
      <c r="O6" s="75">
        <f>+'Codos 22,5º'!AH20</f>
        <v>0.8779064490725772</v>
      </c>
      <c r="P6" s="75">
        <f>+'Codos 22,5º'!AI20</f>
        <v>1.9285431605636154</v>
      </c>
      <c r="Q6" s="75">
        <f>+'Codos 22,5º'!AK20</f>
        <v>1.9357141931927506</v>
      </c>
    </row>
    <row r="7" spans="1:17" s="78" customFormat="1">
      <c r="A7" s="74">
        <f>+'Codos 22,5º'!A21</f>
        <v>140</v>
      </c>
      <c r="B7" s="74">
        <f>+'Codos 22,5º'!B21</f>
        <v>22.5</v>
      </c>
      <c r="C7" s="74">
        <f>+'Codos 22,5º'!C21</f>
        <v>10</v>
      </c>
      <c r="D7" s="75">
        <f>+'Codos 22,5º'!D21</f>
        <v>0.60063643598368899</v>
      </c>
      <c r="E7" s="75">
        <f>+'Codos 22,5º'!F21</f>
        <v>0.49000000000000005</v>
      </c>
      <c r="F7" s="75">
        <f>+'Codos 22,5º'!H21</f>
        <v>0.19118851557580571</v>
      </c>
      <c r="G7" s="75">
        <f>+'Codos 22,5º'!J21</f>
        <v>0.6</v>
      </c>
      <c r="H7" s="75">
        <f>+'Codos 22,5º'!K21</f>
        <v>0.70271310934548337</v>
      </c>
      <c r="I7" s="76">
        <f>+'Codos 22,5º'!N21</f>
        <v>2.671836905586401E-2</v>
      </c>
      <c r="J7" s="77">
        <f>+'Codos 22,5º'!O21</f>
        <v>6.4124085734073619E-2</v>
      </c>
      <c r="K7" s="76">
        <f>+'Codos 22,5º'!AC21</f>
        <v>6.550356300365631E-3</v>
      </c>
      <c r="L7" s="75">
        <f>+'Codos 22,5º'!AE21</f>
        <v>7.0674442034439247E-2</v>
      </c>
      <c r="M7" s="75">
        <f>+'Codos 22,5º'!AF21</f>
        <v>6.3674428432824656E-2</v>
      </c>
      <c r="N7" s="75">
        <f>+'Codos 22,5º'!AG21</f>
        <v>7.6578856166340414E-2</v>
      </c>
      <c r="O7" s="75">
        <f>+'Codos 22,5º'!AH21</f>
        <v>1.1471310934548342</v>
      </c>
      <c r="P7" s="75">
        <f>+'Codos 22,5º'!AI21</f>
        <v>2.0373555054432395</v>
      </c>
      <c r="Q7" s="75">
        <f>+'Codos 22,5º'!AK21</f>
        <v>2.0890193421542622</v>
      </c>
    </row>
    <row r="8" spans="1:17" s="78" customFormat="1">
      <c r="A8" s="74">
        <f>+'Codos 22,5º'!A22</f>
        <v>160</v>
      </c>
      <c r="B8" s="74">
        <f>+'Codos 22,5º'!B22</f>
        <v>22.5</v>
      </c>
      <c r="C8" s="74">
        <f>+'Codos 22,5º'!C22</f>
        <v>10</v>
      </c>
      <c r="D8" s="75">
        <f>+'Codos 22,5º'!D22</f>
        <v>0.78450473271338961</v>
      </c>
      <c r="E8" s="75">
        <f>+'Codos 22,5º'!F22</f>
        <v>0.56000000000000005</v>
      </c>
      <c r="F8" s="75">
        <f>+'Codos 22,5º'!H22</f>
        <v>0.21850116065806366</v>
      </c>
      <c r="G8" s="75">
        <f>+'Codos 22,5º'!J22</f>
        <v>0.7</v>
      </c>
      <c r="H8" s="75">
        <f>+'Codos 22,5º'!K22</f>
        <v>0.93695081246064449</v>
      </c>
      <c r="I8" s="76">
        <f>+'Codos 22,5º'!N22</f>
        <v>4.0740024173052815E-2</v>
      </c>
      <c r="J8" s="77">
        <f>+'Codos 22,5º'!O22</f>
        <v>9.7776058015326753E-2</v>
      </c>
      <c r="K8" s="76">
        <f>+'Codos 22,5º'!AC22</f>
        <v>8.9867790882250803E-3</v>
      </c>
      <c r="L8" s="75">
        <f>+'Codos 22,5º'!AE22</f>
        <v>0.10676283710355183</v>
      </c>
      <c r="M8" s="75">
        <f>+'Codos 22,5º'!AF22</f>
        <v>7.8846257524027755E-2</v>
      </c>
      <c r="N8" s="75">
        <f>+'Codos 22,5º'!AG22</f>
        <v>0.10579718393772035</v>
      </c>
      <c r="O8" s="75">
        <f>+'Codos 22,5º'!AH22</f>
        <v>1.5295081246064455</v>
      </c>
      <c r="P8" s="75">
        <f>+'Codos 22,5º'!AI22</f>
        <v>2.0845066197218305</v>
      </c>
      <c r="Q8" s="75">
        <f>+'Codos 22,5º'!AK22</f>
        <v>2.1352863648742333</v>
      </c>
    </row>
    <row r="9" spans="1:17">
      <c r="A9" s="10">
        <f>+'Codos 22,5º'!A23</f>
        <v>200</v>
      </c>
      <c r="B9" s="10">
        <f>+'Codos 22,5º'!B23</f>
        <v>22.5</v>
      </c>
      <c r="C9" s="10">
        <f>+'Codos 22,5º'!C23</f>
        <v>10</v>
      </c>
      <c r="D9" s="11">
        <f>+'Codos 22,5º'!D23</f>
        <v>1.2257886448646713</v>
      </c>
      <c r="E9" s="11">
        <f>+'Codos 22,5º'!F23</f>
        <v>0.8</v>
      </c>
      <c r="F9" s="11">
        <f>+'Codos 22,5º'!H23</f>
        <v>0.31214451522580522</v>
      </c>
      <c r="G9" s="11">
        <f>+'Codos 22,5º'!J23</f>
        <v>0.7</v>
      </c>
      <c r="H9" s="11">
        <f>+'Codos 22,5º'!K23</f>
        <v>1.3385011606580635</v>
      </c>
      <c r="I9" s="65">
        <f>+'Codos 22,5º'!N23</f>
        <v>8.3253687749507768E-2</v>
      </c>
      <c r="J9" s="66">
        <f>+'Codos 22,5º'!O23</f>
        <v>0.19980885059881864</v>
      </c>
      <c r="K9" s="65">
        <f>+'Codos 22,5º'!AC23</f>
        <v>1.3812190033040515E-2</v>
      </c>
      <c r="L9" s="11">
        <f>+'Codos 22,5º'!AE23</f>
        <v>0.21362104063185916</v>
      </c>
      <c r="M9" s="11">
        <f>+'Codos 22,5º'!AF23</f>
        <v>0.16531924278171878</v>
      </c>
      <c r="N9" s="11">
        <f>+'Codos 22,5º'!AG23</f>
        <v>0.21599596154573941</v>
      </c>
      <c r="O9" s="11">
        <f>+'Codos 22,5º'!AH23</f>
        <v>2.1850116065806362</v>
      </c>
      <c r="P9" s="11">
        <f>+'Codos 22,5º'!AI23</f>
        <v>1.9587451541382568</v>
      </c>
      <c r="Q9" s="11">
        <f>+'Codos 22,5º'!AK23</f>
        <v>2.129049587741966</v>
      </c>
    </row>
    <row r="10" spans="1:17">
      <c r="A10" s="10">
        <f>+'Codos 22,5º'!A24</f>
        <v>225</v>
      </c>
      <c r="B10" s="10">
        <f>+'Codos 22,5º'!B24</f>
        <v>22.5</v>
      </c>
      <c r="C10" s="10">
        <f>+'Codos 22,5º'!C24</f>
        <v>10</v>
      </c>
      <c r="D10" s="11">
        <f>+'Codos 22,5º'!D24</f>
        <v>1.5513887536568496</v>
      </c>
      <c r="E10" s="11">
        <f>+'Codos 22,5º'!F24</f>
        <v>0.9</v>
      </c>
      <c r="F10" s="11">
        <f>+'Codos 22,5º'!H24</f>
        <v>0.35116257962903086</v>
      </c>
      <c r="G10" s="11">
        <f>+'Codos 22,5º'!J24</f>
        <v>0.7</v>
      </c>
      <c r="H10" s="11">
        <f>+'Codos 22,5º'!K24</f>
        <v>1.5058138057403214</v>
      </c>
      <c r="I10" s="65">
        <f>+'Codos 22,5º'!N24</f>
        <v>0.10497759799327923</v>
      </c>
      <c r="J10" s="66">
        <f>+'Codos 22,5º'!O24</f>
        <v>0.25194623518387016</v>
      </c>
      <c r="K10" s="65">
        <f>+'Codos 22,5º'!AC24</f>
        <v>1.476171378717058E-2</v>
      </c>
      <c r="L10" s="11">
        <f>+'Codos 22,5º'!AE24</f>
        <v>0.26670794897104072</v>
      </c>
      <c r="M10" s="11">
        <f>+'Codos 22,5º'!AF24</f>
        <v>0.21271936942303971</v>
      </c>
      <c r="N10" s="11">
        <f>+'Codos 22,5º'!AG24</f>
        <v>0.27327357148462583</v>
      </c>
      <c r="O10" s="11">
        <f>+'Codos 22,5º'!AH24</f>
        <v>2.4581380574032159</v>
      </c>
      <c r="P10" s="11">
        <f>+'Codos 22,5º'!AI24</f>
        <v>1.7606235848039418</v>
      </c>
      <c r="Q10" s="11">
        <f>+'Codos 22,5º'!AK24</f>
        <v>1.974167031536362</v>
      </c>
    </row>
    <row r="11" spans="1:17">
      <c r="A11" s="10">
        <f>+'Codos 22,5º'!A25</f>
        <v>315</v>
      </c>
      <c r="B11" s="10">
        <f>+'Codos 22,5º'!B25</f>
        <v>22.5</v>
      </c>
      <c r="C11" s="10">
        <f>+'Codos 22,5º'!C25</f>
        <v>10</v>
      </c>
      <c r="D11" s="11">
        <f>+'Codos 22,5º'!D25</f>
        <v>3.0407219571674249</v>
      </c>
      <c r="E11" s="11">
        <f>+'Codos 22,5º'!F25</f>
        <v>1.575</v>
      </c>
      <c r="F11" s="11">
        <f>+'Codos 22,5º'!H25</f>
        <v>0.61453451435080397</v>
      </c>
      <c r="G11" s="11">
        <f>+'Codos 22,5º'!J25</f>
        <v>0.8</v>
      </c>
      <c r="H11" s="11">
        <f>+'Codos 22,5º'!K25</f>
        <v>3.0116276114806433</v>
      </c>
      <c r="I11" s="65">
        <f>+'Codos 22,5º'!N25</f>
        <v>0.37007753821863842</v>
      </c>
      <c r="J11" s="66">
        <f>+'Codos 22,5º'!O25</f>
        <v>0.88818609172473217</v>
      </c>
      <c r="K11" s="65">
        <f>+'Codos 22,5º'!AC25</f>
        <v>3.3383552015694526E-2</v>
      </c>
      <c r="L11" s="11">
        <f>+'Codos 22,5º'!AE25</f>
        <v>0.92156964374042671</v>
      </c>
      <c r="M11" s="11">
        <f>+'Codos 22,5º'!AF25</f>
        <v>0.6471812454557111</v>
      </c>
      <c r="N11" s="11">
        <f>+'Codos 22,5º'!AG25</f>
        <v>0.89418800684179844</v>
      </c>
      <c r="O11" s="11">
        <f>+'Codos 22,5º'!AH25</f>
        <v>4.9162761148064318</v>
      </c>
      <c r="P11" s="11">
        <f>+'Codos 22,5º'!AI25</f>
        <v>1.910883074314677</v>
      </c>
      <c r="Q11" s="11">
        <f>+'Codos 22,5º'!AK25</f>
        <v>2.6130012197977606</v>
      </c>
    </row>
    <row r="12" spans="1:17">
      <c r="A12" s="42"/>
      <c r="B12" s="42"/>
      <c r="C12" s="42"/>
      <c r="D12" s="42"/>
    </row>
    <row r="13" spans="1:17" s="78" customFormat="1">
      <c r="A13" s="74">
        <f>+'Codos 45º'!A19</f>
        <v>90</v>
      </c>
      <c r="B13" s="74">
        <f>+'Codos 45º'!B19</f>
        <v>45</v>
      </c>
      <c r="C13" s="74">
        <f>+'Codos 45º'!C19</f>
        <v>10</v>
      </c>
      <c r="D13" s="75">
        <f>+'Codos 45º'!D19</f>
        <v>0.48690536120632044</v>
      </c>
      <c r="E13" s="75">
        <f>+'Codos 45º'!F19</f>
        <v>0.22499999999999998</v>
      </c>
      <c r="F13" s="75">
        <f>+'Codos 45º'!H19</f>
        <v>0.17220754456429038</v>
      </c>
      <c r="G13" s="75">
        <f>+'Codos 45º'!J19</f>
        <v>0.5</v>
      </c>
      <c r="H13" s="75">
        <f>+'Codos 45º'!K19</f>
        <v>0.31110377228214514</v>
      </c>
      <c r="I13" s="76">
        <f>+'Codos 45º'!N19</f>
        <v>8.4996363488676046E-3</v>
      </c>
      <c r="J13" s="77">
        <f>+'Codos 45º'!O19</f>
        <v>2.0399127237282249E-2</v>
      </c>
      <c r="K13" s="76">
        <f>+'Codos 45º'!AC19</f>
        <v>2.7745520293150244E-3</v>
      </c>
      <c r="L13" s="75">
        <f>+'Codos 45º'!AD19</f>
        <v>2.3173679266597275E-2</v>
      </c>
      <c r="M13" s="75">
        <f>+'Codos 45º'!AE19</f>
        <v>2.3173679266597275E-2</v>
      </c>
      <c r="N13" s="75">
        <f>+'Codos 45º'!AF19</f>
        <v>2.5612954410660586E-2</v>
      </c>
      <c r="O13" s="75">
        <f>+'Codos 45º'!AG19</f>
        <v>2.7808381196036975E-2</v>
      </c>
      <c r="P13" s="75">
        <f>+'Codos 45º'!AI19</f>
        <v>1.8255007540178856</v>
      </c>
      <c r="Q13" s="75">
        <f>+'Codos 45º'!AK19</f>
        <v>1.8100448887633989</v>
      </c>
    </row>
    <row r="14" spans="1:17">
      <c r="A14" s="10">
        <f>+'Codos 45º'!A20</f>
        <v>110</v>
      </c>
      <c r="B14" s="10">
        <f>+'Codos 45º'!B20</f>
        <v>45</v>
      </c>
      <c r="C14" s="10">
        <f>+'Codos 45º'!C20</f>
        <v>10</v>
      </c>
      <c r="D14" s="11">
        <f>+'Codos 45º'!D20</f>
        <v>0.72735245316005903</v>
      </c>
      <c r="E14" s="11">
        <f>+'Codos 45º'!F20</f>
        <v>0.33</v>
      </c>
      <c r="F14" s="11">
        <f>+'Codos 45º'!H20</f>
        <v>0.25257106536095925</v>
      </c>
      <c r="G14" s="11">
        <f>+'Codos 45º'!J20</f>
        <v>0.5</v>
      </c>
      <c r="H14" s="11">
        <f>+'Codos 45º'!K20</f>
        <v>0.45628553268047967</v>
      </c>
      <c r="I14" s="65">
        <f>+'Codos 45º'!N20</f>
        <v>1.8429954401688136E-2</v>
      </c>
      <c r="J14" s="66">
        <f>+'Codos 45º'!O20</f>
        <v>4.4231890564051524E-2</v>
      </c>
      <c r="K14" s="65">
        <f>+'Codos 45º'!AC20</f>
        <v>4.5600260823692347E-3</v>
      </c>
      <c r="L14" s="11">
        <f>+'Codos 45º'!AD20</f>
        <v>4.8791916646420755E-2</v>
      </c>
      <c r="M14" s="11">
        <f>+'Codos 45º'!AE20</f>
        <v>4.8791916646420755E-2</v>
      </c>
      <c r="N14" s="11">
        <f>+'Codos 45º'!AF20</f>
        <v>5.5789346177395283E-2</v>
      </c>
      <c r="O14" s="11">
        <f>+'Codos 45º'!AG20</f>
        <v>5.9611319809575139E-2</v>
      </c>
      <c r="P14" s="11">
        <f>+'Codos 45º'!AI20</f>
        <v>1.8181923232248358</v>
      </c>
      <c r="Q14" s="11">
        <f>+'Codos 45º'!AK20</f>
        <v>1.8239092248301716</v>
      </c>
    </row>
    <row r="15" spans="1:17">
      <c r="A15" s="10">
        <f>+'Codos 45º'!A21</f>
        <v>125</v>
      </c>
      <c r="B15" s="10">
        <f>+'Codos 45º'!B21</f>
        <v>45</v>
      </c>
      <c r="C15" s="10">
        <f>+'Codos 45º'!C21</f>
        <v>10</v>
      </c>
      <c r="D15" s="11">
        <f>+'Codos 45º'!D21</f>
        <v>0.93924645294429088</v>
      </c>
      <c r="E15" s="11">
        <f>+'Codos 45º'!F21</f>
        <v>0.375</v>
      </c>
      <c r="F15" s="11">
        <f>+'Codos 45º'!H21</f>
        <v>0.28701257427381732</v>
      </c>
      <c r="G15" s="11">
        <f>+'Codos 45º'!J21</f>
        <v>0.6</v>
      </c>
      <c r="H15" s="11">
        <f>+'Codos 45º'!K21</f>
        <v>0.62220754456429028</v>
      </c>
      <c r="I15" s="65">
        <f>+'Codos 45º'!N21</f>
        <v>2.8626281637815113E-2</v>
      </c>
      <c r="J15" s="66">
        <f>+'Codos 45º'!O21</f>
        <v>6.8703075930756266E-2</v>
      </c>
      <c r="K15" s="65">
        <f>+'Codos 45º'!AC21</f>
        <v>7.0844395984282658E-3</v>
      </c>
      <c r="L15" s="11">
        <f>+'Codos 45º'!AD21</f>
        <v>7.5787515529184529E-2</v>
      </c>
      <c r="M15" s="11">
        <f>+'Codos 45º'!AE21</f>
        <v>7.5787515529184529E-2</v>
      </c>
      <c r="N15" s="11">
        <f>+'Codos 45º'!AF21</f>
        <v>6.8238566520365834E-2</v>
      </c>
      <c r="O15" s="11">
        <f>+'Codos 45º'!AG21</f>
        <v>8.2094866768243693E-2</v>
      </c>
      <c r="P15" s="11">
        <f>+'Codos 45º'!AI21</f>
        <v>1.9208699769432693</v>
      </c>
      <c r="Q15" s="11">
        <f>+'Codos 45º'!AK21</f>
        <v>1.9220084976949428</v>
      </c>
    </row>
    <row r="16" spans="1:17" s="78" customFormat="1">
      <c r="A16" s="74">
        <f>+'Codos 45º'!A22</f>
        <v>140</v>
      </c>
      <c r="B16" s="74">
        <f>+'Codos 45º'!B22</f>
        <v>45</v>
      </c>
      <c r="C16" s="74">
        <f>+'Codos 45º'!C22</f>
        <v>10</v>
      </c>
      <c r="D16" s="75">
        <f>+'Codos 45º'!D22</f>
        <v>1.1781907505733189</v>
      </c>
      <c r="E16" s="75">
        <f>+'Codos 45º'!F22</f>
        <v>0.49000000000000005</v>
      </c>
      <c r="F16" s="75">
        <f>+'Codos 45º'!H22</f>
        <v>0.37502976371778801</v>
      </c>
      <c r="G16" s="75">
        <f>+'Codos 45º'!J22</f>
        <v>0.6</v>
      </c>
      <c r="H16" s="75">
        <f>+'Codos 45º'!K22</f>
        <v>0.81301785823067285</v>
      </c>
      <c r="I16" s="76">
        <f>+'Codos 45º'!N22</f>
        <v>4.9240264294080197E-2</v>
      </c>
      <c r="J16" s="77">
        <f>+'Codos 45º'!O22</f>
        <v>0.11817663430579246</v>
      </c>
      <c r="K16" s="76">
        <f>+'Codos 45º'!AC22</f>
        <v>8.2766490752796008E-3</v>
      </c>
      <c r="L16" s="75">
        <f>+'Codos 45º'!AD22</f>
        <v>0.12645328338107206</v>
      </c>
      <c r="M16" s="75">
        <f>+'Codos 45º'!AE22</f>
        <v>0.12645328338107206</v>
      </c>
      <c r="N16" s="75">
        <f>+'Codos 45º'!AF22</f>
        <v>0.11765500234688284</v>
      </c>
      <c r="O16" s="75">
        <f>+'Codos 45º'!AG22</f>
        <v>0.13914172286493429</v>
      </c>
      <c r="P16" s="75">
        <f>+'Codos 45º'!AI22</f>
        <v>2.0279571062741719</v>
      </c>
      <c r="Q16" s="75">
        <f>+'Codos 45º'!AK22</f>
        <v>2.0661838312040728</v>
      </c>
    </row>
    <row r="17" spans="1:17">
      <c r="A17" s="10">
        <f>+'Codos 45º'!A23</f>
        <v>160</v>
      </c>
      <c r="B17" s="10">
        <f>+'Codos 45º'!B23</f>
        <v>45</v>
      </c>
      <c r="C17" s="10">
        <f>+'Codos 45º'!C23</f>
        <v>10</v>
      </c>
      <c r="D17" s="11">
        <f>+'Codos 45º'!D23</f>
        <v>1.5388613885039264</v>
      </c>
      <c r="E17" s="11">
        <f>+'Codos 45º'!F23</f>
        <v>0.56000000000000005</v>
      </c>
      <c r="F17" s="11">
        <f>+'Codos 45º'!H23</f>
        <v>0.42860544424890057</v>
      </c>
      <c r="G17" s="11">
        <f>+'Codos 45º'!J23</f>
        <v>0.7</v>
      </c>
      <c r="H17" s="11">
        <f>+'Codos 45º'!K23</f>
        <v>1.0840238109742304</v>
      </c>
      <c r="I17" s="65">
        <f>+'Codos 45º'!N23</f>
        <v>7.5085421576356587E-2</v>
      </c>
      <c r="J17" s="66">
        <f>+'Codos 45º'!O23</f>
        <v>0.18020501178325579</v>
      </c>
      <c r="K17" s="65">
        <f>+'Codos 45º'!AC23</f>
        <v>1.1158943434812567E-2</v>
      </c>
      <c r="L17" s="11">
        <f>+'Codos 45º'!AD23</f>
        <v>0.19136395521806837</v>
      </c>
      <c r="M17" s="11">
        <f>+'Codos 45º'!AE23</f>
        <v>0.19136395521806837</v>
      </c>
      <c r="N17" s="11">
        <f>+'Codos 45º'!AF23</f>
        <v>0.14568888708312658</v>
      </c>
      <c r="O17" s="11">
        <f>+'Codos 45º'!AG23</f>
        <v>0.19212012011168109</v>
      </c>
      <c r="P17" s="11">
        <f>+'Codos 45º'!AI23</f>
        <v>2.0744936832534218</v>
      </c>
      <c r="Q17" s="11">
        <f>+'Codos 45º'!AK23</f>
        <v>2.1115320144608822</v>
      </c>
    </row>
    <row r="18" spans="1:17">
      <c r="A18" s="10">
        <f>+'Codos 45º'!A24</f>
        <v>200</v>
      </c>
      <c r="B18" s="10">
        <f>+'Codos 45º'!B24</f>
        <v>45</v>
      </c>
      <c r="C18" s="10">
        <f>+'Codos 45º'!C24</f>
        <v>10</v>
      </c>
      <c r="D18" s="11">
        <f>+'Codos 45º'!D24</f>
        <v>2.4044709195373852</v>
      </c>
      <c r="E18" s="11">
        <f>+'Codos 45º'!F24</f>
        <v>0.8</v>
      </c>
      <c r="F18" s="11">
        <f>+'Codos 45º'!H24</f>
        <v>0.61229349178414372</v>
      </c>
      <c r="G18" s="11">
        <f>+'Codos 45º'!J24</f>
        <v>0.7</v>
      </c>
      <c r="H18" s="11">
        <f>+'Codos 45º'!K24</f>
        <v>1.5486054442489006</v>
      </c>
      <c r="I18" s="65">
        <f>+'Codos 45º'!N24</f>
        <v>0.15345711678524199</v>
      </c>
      <c r="J18" s="66">
        <f>+'Codos 45º'!O24</f>
        <v>0.36829708028458075</v>
      </c>
      <c r="K18" s="65">
        <f>+'Codos 45º'!AC24</f>
        <v>1.633127178391397E-2</v>
      </c>
      <c r="L18" s="11">
        <f>+'Codos 45º'!AD24</f>
        <v>0.38462835206849472</v>
      </c>
      <c r="M18" s="11">
        <f>+'Codos 45º'!AE24</f>
        <v>0.38462835206849472</v>
      </c>
      <c r="N18" s="11">
        <f>+'Codos 45º'!AF24</f>
        <v>0.30547012947258861</v>
      </c>
      <c r="O18" s="11">
        <f>+'Codos 45º'!AG24</f>
        <v>0.39335613447841744</v>
      </c>
      <c r="P18" s="11">
        <f>+'Codos 45º'!AI24</f>
        <v>1.9461289961733998</v>
      </c>
      <c r="Q18" s="11">
        <f>+'Codos 45º'!AK24</f>
        <v>2.0855745800339647</v>
      </c>
    </row>
    <row r="19" spans="1:17">
      <c r="A19" s="10">
        <f>+'Codos 45º'!A25</f>
        <v>225</v>
      </c>
      <c r="B19" s="10">
        <f>+'Codos 45º'!B25</f>
        <v>45</v>
      </c>
      <c r="C19" s="10">
        <f>+'Codos 45º'!C25</f>
        <v>10</v>
      </c>
      <c r="D19" s="11">
        <f>+'Codos 45º'!D25</f>
        <v>3.0431585075395033</v>
      </c>
      <c r="E19" s="11">
        <f>+'Codos 45º'!F25</f>
        <v>0.9</v>
      </c>
      <c r="F19" s="11">
        <f>+'Codos 45º'!H25</f>
        <v>0.68883017825716164</v>
      </c>
      <c r="G19" s="11">
        <f>+'Codos 45º'!J25</f>
        <v>0.7</v>
      </c>
      <c r="H19" s="11">
        <f>+'Codos 45º'!K25</f>
        <v>1.742181124780013</v>
      </c>
      <c r="I19" s="65">
        <f>+'Codos 45º'!N25</f>
        <v>0.19343846230193881</v>
      </c>
      <c r="J19" s="66">
        <f>+'Codos 45º'!O25</f>
        <v>0.46425230952465313</v>
      </c>
      <c r="K19" s="65">
        <f>+'Codos 45º'!AC25</f>
        <v>1.8129661955195577E-2</v>
      </c>
      <c r="L19" s="11">
        <f>+'Codos 45º'!AD25</f>
        <v>0.48238197147984868</v>
      </c>
      <c r="M19" s="11">
        <f>+'Codos 45º'!AE25</f>
        <v>0.48238197147984868</v>
      </c>
      <c r="N19" s="11">
        <f>+'Codos 45º'!AF25</f>
        <v>0.39305414315730725</v>
      </c>
      <c r="O19" s="11">
        <f>+'Codos 45º'!AG25</f>
        <v>0.49899858534317881</v>
      </c>
      <c r="P19" s="11">
        <f>+'Codos 45º'!AI25</f>
        <v>1.7484497833290205</v>
      </c>
      <c r="Q19" s="11">
        <f>+'Codos 45º'!AK25</f>
        <v>1.9261874608218355</v>
      </c>
    </row>
    <row r="20" spans="1:17">
      <c r="A20" s="10">
        <f>+'Codos 45º'!A26</f>
        <v>315</v>
      </c>
      <c r="B20" s="10">
        <f>+'Codos 45º'!B26</f>
        <v>45</v>
      </c>
      <c r="C20" s="10">
        <f>+'Codos 45º'!C26</f>
        <v>10</v>
      </c>
      <c r="D20" s="11">
        <f>+'Codos 45º'!D26</f>
        <v>5.9645906747774262</v>
      </c>
      <c r="E20" s="11">
        <f>+'Codos 45º'!F26</f>
        <v>1.575</v>
      </c>
      <c r="F20" s="11">
        <f>+'Codos 45º'!H26</f>
        <v>1.2054528119500327</v>
      </c>
      <c r="G20" s="11">
        <f>+'Codos 45º'!J26</f>
        <v>0.8</v>
      </c>
      <c r="H20" s="11">
        <f>+'Codos 45º'!K26</f>
        <v>3.4843622495600259</v>
      </c>
      <c r="I20" s="65">
        <f>+'Codos 45º'!N26</f>
        <v>0.68234650854110812</v>
      </c>
      <c r="J20" s="66">
        <f>+'Codos 45º'!O26</f>
        <v>1.6376316204986594</v>
      </c>
      <c r="K20" s="65">
        <f>+'Codos 45º'!AC26</f>
        <v>4.1851510540967723E-2</v>
      </c>
      <c r="L20" s="11">
        <f>+'Codos 45º'!AD26</f>
        <v>1.6794831310396272</v>
      </c>
      <c r="M20" s="11">
        <f>+'Codos 45º'!AE26</f>
        <v>1.6794831310396272</v>
      </c>
      <c r="N20" s="11">
        <f>+'Codos 45º'!AF26</f>
        <v>1.1958350130033895</v>
      </c>
      <c r="O20" s="11">
        <f>+'Codos 45º'!AG26</f>
        <v>1.6389313421045193</v>
      </c>
      <c r="P20" s="11">
        <f>+'Codos 45º'!AI26</f>
        <v>1.8915889543628743</v>
      </c>
      <c r="Q20" s="11">
        <f>+'Codos 45º'!AK26</f>
        <v>2.4936335928322575</v>
      </c>
    </row>
    <row r="21" spans="1:17">
      <c r="A21" s="42"/>
      <c r="B21" s="42"/>
      <c r="C21" s="42"/>
      <c r="D21" s="42"/>
    </row>
    <row r="22" spans="1:17" s="78" customFormat="1">
      <c r="A22" s="74">
        <f>+'Codos 90º'!A19</f>
        <v>90</v>
      </c>
      <c r="B22" s="74">
        <f>+'Codos 90º'!B19</f>
        <v>90</v>
      </c>
      <c r="C22" s="74">
        <f>+'Codos 90º'!C19</f>
        <v>10</v>
      </c>
      <c r="D22" s="75">
        <f>+'Codos 90º'!D19</f>
        <v>0.89968379497706896</v>
      </c>
      <c r="E22" s="75">
        <f>+'Codos 90º'!F19</f>
        <v>0.22499999999999998</v>
      </c>
      <c r="F22" s="75">
        <f>+'Codos 90º'!H19</f>
        <v>0.31819805153394631</v>
      </c>
      <c r="G22" s="75">
        <f>+'Codos 90º'!J19</f>
        <v>0.6</v>
      </c>
      <c r="H22" s="75">
        <f>+'Codos 90º'!K19</f>
        <v>0.46091883092036773</v>
      </c>
      <c r="I22" s="76">
        <f>+'Codos 90º'!N19</f>
        <v>1.4288132298950727E-2</v>
      </c>
      <c r="J22" s="77">
        <f>+'Codos 90º'!O19</f>
        <v>3.4291517517481745E-2</v>
      </c>
      <c r="K22" s="76">
        <f>+'Codos 90º'!AC19</f>
        <v>4.7427993488107214E-3</v>
      </c>
      <c r="L22" s="75">
        <f>+'Codos 90º'!AD19</f>
        <v>3.9034316866292468E-2</v>
      </c>
      <c r="M22" s="75">
        <f>+'Codos 90º'!AE19</f>
        <v>3.9034316866292468E-2</v>
      </c>
      <c r="N22" s="75">
        <f>+'Codos 90º'!AF19</f>
        <v>3.394406249999999E-2</v>
      </c>
      <c r="O22" s="75">
        <f>+'Codos 90º'!AG19</f>
        <v>4.1597676238786692E-2</v>
      </c>
      <c r="P22" s="75">
        <f>+'Codos 90º'!AI19</f>
        <v>2.1683017926228025</v>
      </c>
      <c r="Q22" s="75">
        <f>+'Codos 90º'!AK19</f>
        <v>2.1435749260678283</v>
      </c>
    </row>
    <row r="23" spans="1:17">
      <c r="A23" s="10">
        <f>+'Codos 90º'!A20</f>
        <v>110</v>
      </c>
      <c r="B23" s="10">
        <f>+'Codos 90º'!B20</f>
        <v>90</v>
      </c>
      <c r="C23" s="10">
        <f>+'Codos 90º'!C20</f>
        <v>10</v>
      </c>
      <c r="D23" s="11">
        <f>+'Codos 90º'!D20</f>
        <v>1.3439720887929056</v>
      </c>
      <c r="E23" s="11">
        <f>+'Codos 90º'!F20</f>
        <v>0.33</v>
      </c>
      <c r="F23" s="11">
        <f>+'Codos 90º'!H20</f>
        <v>0.46669047558312132</v>
      </c>
      <c r="G23" s="11">
        <f>+'Codos 90º'!J20</f>
        <v>0.6</v>
      </c>
      <c r="H23" s="11">
        <f>+'Codos 90º'!K20</f>
        <v>0.67601428534987273</v>
      </c>
      <c r="I23" s="65">
        <f>+'Codos 90º'!N20</f>
        <v>3.1027944567768764E-2</v>
      </c>
      <c r="J23" s="66">
        <f>+'Codos 90º'!O20</f>
        <v>7.4467066962645032E-2</v>
      </c>
      <c r="K23" s="65">
        <f>+'Codos 90º'!AC20</f>
        <v>7.0271457115890579E-3</v>
      </c>
      <c r="L23" s="11">
        <f>+'Codos 90º'!AD20</f>
        <v>8.1494212674234096E-2</v>
      </c>
      <c r="M23" s="11">
        <f>+'Codos 90º'!AE20</f>
        <v>8.1494212674234096E-2</v>
      </c>
      <c r="N23" s="11">
        <f>+'Codos 90º'!AF20</f>
        <v>7.3997550000000009E-2</v>
      </c>
      <c r="O23" s="11">
        <f>+'Codos 90º'!AG20</f>
        <v>8.8630304724313422E-2</v>
      </c>
      <c r="P23" s="11">
        <f>+'Codos 90º'!AI20</f>
        <v>2.1494294281197504</v>
      </c>
      <c r="Q23" s="11">
        <f>+'Codos 90º'!AK20</f>
        <v>2.1284779507296774</v>
      </c>
    </row>
    <row r="24" spans="1:17" s="78" customFormat="1">
      <c r="A24" s="74">
        <f>+'Codos 90º'!A21</f>
        <v>125</v>
      </c>
      <c r="B24" s="74">
        <f>+'Codos 90º'!B21</f>
        <v>90</v>
      </c>
      <c r="C24" s="74">
        <f>+'Codos 90º'!C21</f>
        <v>10</v>
      </c>
      <c r="D24" s="75">
        <f>+'Codos 90º'!D21</f>
        <v>1.7355011477181115</v>
      </c>
      <c r="E24" s="75">
        <f>+'Codos 90º'!F21</f>
        <v>0.375</v>
      </c>
      <c r="F24" s="75">
        <f>+'Codos 90º'!H21</f>
        <v>0.5303300858899106</v>
      </c>
      <c r="G24" s="75">
        <f>+'Codos 90º'!J21</f>
        <v>0.6</v>
      </c>
      <c r="H24" s="75">
        <f>+'Codos 90º'!K21</f>
        <v>0.76819805153394627</v>
      </c>
      <c r="I24" s="76">
        <f>+'Codos 90º'!N21</f>
        <v>3.9777928613015288E-2</v>
      </c>
      <c r="J24" s="77">
        <f>+'Codos 90º'!O21</f>
        <v>9.5467028671236687E-2</v>
      </c>
      <c r="K24" s="76">
        <f>+'Codos 90º'!AC21</f>
        <v>8.7886652557565628E-3</v>
      </c>
      <c r="L24" s="75">
        <f>+'Codos 90º'!AD21</f>
        <v>0.10425569392699324</v>
      </c>
      <c r="M24" s="75">
        <f>+'Codos 90º'!AE21</f>
        <v>0.10425569392699324</v>
      </c>
      <c r="N24" s="75">
        <f>+'Codos 90º'!AF21</f>
        <v>9.6503906249999993E-2</v>
      </c>
      <c r="O24" s="75">
        <f>+'Codos 90º'!AG21</f>
        <v>0.11443297210088614</v>
      </c>
      <c r="P24" s="75">
        <f>+'Codos 90º'!AI21</f>
        <v>1.8994015024274531</v>
      </c>
      <c r="Q24" s="75">
        <f>+'Codos 90º'!AK21</f>
        <v>1.8845879568047481</v>
      </c>
    </row>
    <row r="25" spans="1:17" s="78" customFormat="1">
      <c r="A25" s="74">
        <f>+'Codos 90º'!A22</f>
        <v>140</v>
      </c>
      <c r="B25" s="74">
        <f>+'Codos 90º'!B22</f>
        <v>90</v>
      </c>
      <c r="C25" s="74">
        <f>+'Codos 90º'!C22</f>
        <v>10</v>
      </c>
      <c r="D25" s="75">
        <f>+'Codos 90º'!D22</f>
        <v>2.1770126396975993</v>
      </c>
      <c r="E25" s="75">
        <f>+'Codos 90º'!F22</f>
        <v>0.49000000000000005</v>
      </c>
      <c r="F25" s="75">
        <f>+'Codos 90º'!H22</f>
        <v>0.69296464556281656</v>
      </c>
      <c r="G25" s="75">
        <f>+'Codos 90º'!J22</f>
        <v>0.6</v>
      </c>
      <c r="H25" s="75">
        <f>+'Codos 90º'!K22</f>
        <v>1.00377878733769</v>
      </c>
      <c r="I25" s="76">
        <f>+'Codos 90º'!N22</f>
        <v>6.8644725690426359E-2</v>
      </c>
      <c r="J25" s="77">
        <f>+'Codos 90º'!O22</f>
        <v>0.16474734165702326</v>
      </c>
      <c r="K25" s="76">
        <f>+'Codos 90º'!AC22</f>
        <v>1.0340111934188576E-2</v>
      </c>
      <c r="L25" s="75">
        <f>+'Codos 90º'!AD22</f>
        <v>0.17508745359121183</v>
      </c>
      <c r="M25" s="75">
        <f>+'Codos 90º'!AE22</f>
        <v>0.17508745359121183</v>
      </c>
      <c r="N25" s="75">
        <f>+'Codos 90º'!AF22</f>
        <v>0.16638930000000005</v>
      </c>
      <c r="O25" s="75">
        <f>+'Codos 90º'!AG22</f>
        <v>0.19464174954699076</v>
      </c>
      <c r="P25" s="75">
        <f>+'Codos 90º'!AI22</f>
        <v>1.9992670430836217</v>
      </c>
      <c r="Q25" s="75">
        <f>+'Codos 90º'!AK22</f>
        <v>2.0004388392444348</v>
      </c>
    </row>
    <row r="26" spans="1:17">
      <c r="A26" s="10">
        <f>+'Codos 90º'!A23</f>
        <v>160</v>
      </c>
      <c r="B26" s="10">
        <f>+'Codos 90º'!B23</f>
        <v>90</v>
      </c>
      <c r="C26" s="10">
        <f>+'Codos 90º'!C23</f>
        <v>10</v>
      </c>
      <c r="D26" s="11">
        <f>+'Codos 90º'!D23</f>
        <v>2.843445080421354</v>
      </c>
      <c r="E26" s="11">
        <f>+'Codos 90º'!F23</f>
        <v>0.56000000000000005</v>
      </c>
      <c r="F26" s="11">
        <f>+'Codos 90º'!H23</f>
        <v>0.7919595949289332</v>
      </c>
      <c r="G26" s="11">
        <f>+'Codos 90º'!J23</f>
        <v>0.7</v>
      </c>
      <c r="H26" s="11">
        <f>+'Codos 90º'!K23</f>
        <v>1.3383717164502531</v>
      </c>
      <c r="I26" s="65">
        <f>+'Codos 90º'!N23</f>
        <v>0.10470676254664225</v>
      </c>
      <c r="J26" s="66">
        <f>+'Codos 90º'!O23</f>
        <v>0.25129623011194141</v>
      </c>
      <c r="K26" s="65">
        <f>+'Codos 90º'!AC23</f>
        <v>1.4122500842078247E-2</v>
      </c>
      <c r="L26" s="11">
        <f>+'Codos 90º'!AD23</f>
        <v>0.26541873095401963</v>
      </c>
      <c r="M26" s="11">
        <f>+'Codos 90º'!AE23</f>
        <v>0.26541873095401963</v>
      </c>
      <c r="N26" s="11">
        <f>+'Codos 90º'!AF23</f>
        <v>0.20603520000000003</v>
      </c>
      <c r="O26" s="11">
        <f>+'Codos 90º'!AG23</f>
        <v>0.26872874064379121</v>
      </c>
      <c r="P26" s="11">
        <f>+'Codos 90º'!AI23</f>
        <v>2.0441562051499194</v>
      </c>
      <c r="Q26" s="11">
        <f>+'Codos 90º'!AK23</f>
        <v>2.0434408323150146</v>
      </c>
    </row>
    <row r="27" spans="1:17">
      <c r="A27" s="10">
        <f>+'Codos 90º'!A24</f>
        <v>200</v>
      </c>
      <c r="B27" s="10">
        <f>+'Codos 90º'!B24</f>
        <v>90</v>
      </c>
      <c r="C27" s="10">
        <f>+'Codos 90º'!C24</f>
        <v>10</v>
      </c>
      <c r="D27" s="11">
        <f>+'Codos 90º'!D24</f>
        <v>4.4428829381583661</v>
      </c>
      <c r="E27" s="11">
        <f>+'Codos 90º'!F24</f>
        <v>0.8</v>
      </c>
      <c r="F27" s="11">
        <f>+'Codos 90º'!H24</f>
        <v>1.131370849898476</v>
      </c>
      <c r="G27" s="11">
        <f>+'Codos 90º'!J24</f>
        <v>0.7</v>
      </c>
      <c r="H27" s="11">
        <f>+'Codos 90º'!K24</f>
        <v>1.9119595949289332</v>
      </c>
      <c r="I27" s="65">
        <f>+'Codos 90º'!N24</f>
        <v>0.21413039559891067</v>
      </c>
      <c r="J27" s="66">
        <f>+'Codos 90º'!O24</f>
        <v>0.51391294943738564</v>
      </c>
      <c r="K27" s="65">
        <f>+'Codos 90º'!AC24</f>
        <v>2.0882787175033696E-2</v>
      </c>
      <c r="L27" s="11">
        <f>+'Codos 90º'!AD24</f>
        <v>0.5347957366124193</v>
      </c>
      <c r="M27" s="11">
        <f>+'Codos 90º'!AE24</f>
        <v>0.5347957366124193</v>
      </c>
      <c r="N27" s="11">
        <f>+'Codos 90º'!AF24</f>
        <v>0.43200000000000011</v>
      </c>
      <c r="O27" s="11">
        <f>+'Codos 90º'!AG24</f>
        <v>0.55107356986907896</v>
      </c>
      <c r="P27" s="11">
        <f>+'Codos 90º'!AI24</f>
        <v>1.9065704942182466</v>
      </c>
      <c r="Q27" s="11">
        <f>+'Codos 90º'!AK24</f>
        <v>1.9583871574201266</v>
      </c>
    </row>
    <row r="28" spans="1:17">
      <c r="A28" s="10">
        <f>+'Codos 90º'!A25</f>
        <v>225</v>
      </c>
      <c r="B28" s="10">
        <f>+'Codos 90º'!B25</f>
        <v>90</v>
      </c>
      <c r="C28" s="10">
        <f>+'Codos 90º'!C25</f>
        <v>10</v>
      </c>
      <c r="D28" s="11">
        <f>+'Codos 90º'!D25</f>
        <v>5.6230237186066825</v>
      </c>
      <c r="E28" s="11">
        <f>+'Codos 90º'!F25</f>
        <v>0.9</v>
      </c>
      <c r="F28" s="11">
        <f>+'Codos 90º'!H25</f>
        <v>1.2727922061357855</v>
      </c>
      <c r="G28" s="11">
        <f>+'Codos 90º'!J25</f>
        <v>0.8</v>
      </c>
      <c r="H28" s="11">
        <f>+'Codos 90º'!K25</f>
        <v>2.4582337649086288</v>
      </c>
      <c r="I28" s="65">
        <f>+'Codos 90º'!N25</f>
        <v>0.30994737967110525</v>
      </c>
      <c r="J28" s="66">
        <f>+'Codos 90º'!O25</f>
        <v>0.7438737112106526</v>
      </c>
      <c r="K28" s="65">
        <f>+'Codos 90º'!AC25</f>
        <v>2.7641594790485776E-2</v>
      </c>
      <c r="L28" s="11">
        <f>+'Codos 90º'!AD25</f>
        <v>0.77151530600113838</v>
      </c>
      <c r="M28" s="11">
        <f>+'Codos 90º'!AE25</f>
        <v>0.77151530600113838</v>
      </c>
      <c r="N28" s="11">
        <f>+'Codos 90º'!AF25</f>
        <v>0.51941250000000005</v>
      </c>
      <c r="O28" s="11">
        <f>+'Codos 90º'!AG25</f>
        <v>0.73582884942064886</v>
      </c>
      <c r="P28" s="11">
        <f>+'Codos 90º'!AI25</f>
        <v>1.9416895686174205</v>
      </c>
      <c r="Q28" s="11">
        <f>+'Codos 90º'!AK25</f>
        <v>1.9934585005121039</v>
      </c>
    </row>
    <row r="29" spans="1:17">
      <c r="A29" s="10">
        <f>+'Codos 90º'!A26</f>
        <v>315</v>
      </c>
      <c r="B29" s="10">
        <f>+'Codos 90º'!B26</f>
        <v>90</v>
      </c>
      <c r="C29" s="10">
        <f>+'Codos 90º'!C26</f>
        <v>10</v>
      </c>
      <c r="D29" s="11">
        <f>+'Codos 90º'!D26</f>
        <v>11.021126488469097</v>
      </c>
      <c r="E29" s="11">
        <f>+'Codos 90º'!F26</f>
        <v>1.575</v>
      </c>
      <c r="F29" s="11">
        <f>+'Codos 90º'!H26</f>
        <v>2.2273863607376243</v>
      </c>
      <c r="G29" s="11">
        <f>+'Codos 90º'!J26</f>
        <v>0.8</v>
      </c>
      <c r="H29" s="11">
        <f>+'Codos 90º'!K26</f>
        <v>4.3019090885900999</v>
      </c>
      <c r="I29" s="65">
        <f>+'Codos 90º'!N26</f>
        <v>0.9536896098175125</v>
      </c>
      <c r="J29" s="66">
        <f>+'Codos 90º'!O26</f>
        <v>2.2888550635620297</v>
      </c>
      <c r="K29" s="65">
        <f>+'Codos 90º'!AC26</f>
        <v>5.4229907692522644E-2</v>
      </c>
      <c r="L29" s="11">
        <f>+'Codos 90º'!AD26</f>
        <v>2.3430849712545525</v>
      </c>
      <c r="M29" s="11">
        <f>+'Codos 90º'!AE26</f>
        <v>2.3430849712545525</v>
      </c>
      <c r="N29" s="11">
        <f>+'Codos 90º'!AF26</f>
        <v>1.6911660937499995</v>
      </c>
      <c r="O29" s="11">
        <f>+'Codos 90º'!AG26</f>
        <v>2.2995231070525946</v>
      </c>
      <c r="P29" s="11">
        <f>+'Codos 90º'!AI26</f>
        <v>1.8254589504986425</v>
      </c>
      <c r="Q29" s="11">
        <f>+'Codos 90º'!AK26</f>
        <v>2.126392277972601</v>
      </c>
    </row>
  </sheetData>
  <mergeCells count="2">
    <mergeCell ref="L2:O2"/>
    <mergeCell ref="E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0"/>
  <sheetViews>
    <sheetView workbookViewId="0">
      <selection activeCell="D19" sqref="D19:D20"/>
    </sheetView>
  </sheetViews>
  <sheetFormatPr baseColWidth="10" defaultRowHeight="15"/>
  <cols>
    <col min="1" max="11" width="11.42578125" style="42"/>
    <col min="12" max="13" width="15.7109375" style="42" customWidth="1"/>
    <col min="14" max="17" width="12.7109375" style="42" customWidth="1"/>
    <col min="18" max="19" width="14.7109375" style="42" customWidth="1"/>
    <col min="20" max="16384" width="11.42578125" style="42"/>
  </cols>
  <sheetData>
    <row r="2" spans="1:19" ht="20.25" customHeight="1">
      <c r="A2" s="53" t="s">
        <v>78</v>
      </c>
      <c r="B2" s="53" t="s">
        <v>79</v>
      </c>
      <c r="C2" s="53" t="s">
        <v>15</v>
      </c>
      <c r="D2" s="36" t="s">
        <v>8</v>
      </c>
      <c r="E2" s="136" t="s">
        <v>13</v>
      </c>
      <c r="F2" s="159"/>
      <c r="G2" s="159"/>
      <c r="H2" s="159"/>
      <c r="I2" s="148"/>
      <c r="J2" s="36" t="s">
        <v>22</v>
      </c>
      <c r="K2" s="36" t="s">
        <v>60</v>
      </c>
      <c r="L2" s="36" t="s">
        <v>25</v>
      </c>
      <c r="M2" s="36" t="s">
        <v>26</v>
      </c>
      <c r="N2" s="163" t="s">
        <v>75</v>
      </c>
      <c r="O2" s="164"/>
      <c r="P2" s="164"/>
      <c r="Q2" s="165"/>
      <c r="R2" s="53" t="s">
        <v>55</v>
      </c>
      <c r="S2" s="53" t="s">
        <v>56</v>
      </c>
    </row>
    <row r="3" spans="1:19">
      <c r="A3" s="37" t="s">
        <v>9</v>
      </c>
      <c r="B3" s="37" t="s">
        <v>9</v>
      </c>
      <c r="C3" s="37" t="s">
        <v>11</v>
      </c>
      <c r="D3" s="38" t="s">
        <v>12</v>
      </c>
      <c r="E3" s="38" t="s">
        <v>70</v>
      </c>
      <c r="F3" s="38" t="s">
        <v>116</v>
      </c>
      <c r="G3" s="38" t="s">
        <v>117</v>
      </c>
      <c r="H3" s="38" t="s">
        <v>118</v>
      </c>
      <c r="I3" s="36" t="s">
        <v>71</v>
      </c>
      <c r="J3" s="38" t="s">
        <v>23</v>
      </c>
      <c r="K3" s="38" t="s">
        <v>24</v>
      </c>
      <c r="L3" s="38" t="s">
        <v>12</v>
      </c>
      <c r="M3" s="38" t="s">
        <v>12</v>
      </c>
      <c r="N3" s="38" t="s">
        <v>76</v>
      </c>
      <c r="O3" s="38" t="s">
        <v>72</v>
      </c>
      <c r="P3" s="38" t="s">
        <v>73</v>
      </c>
      <c r="Q3" s="38" t="s">
        <v>74</v>
      </c>
      <c r="R3" s="36" t="s">
        <v>77</v>
      </c>
      <c r="S3" s="36" t="s">
        <v>77</v>
      </c>
    </row>
    <row r="4" spans="1:19">
      <c r="A4" s="10" t="e">
        <f>+#REF!</f>
        <v>#REF!</v>
      </c>
      <c r="B4" s="10" t="e">
        <f>+#REF!</f>
        <v>#REF!</v>
      </c>
      <c r="C4" s="10" t="e">
        <f>+#REF!</f>
        <v>#REF!</v>
      </c>
      <c r="D4" s="11" t="e">
        <f>+#REF!</f>
        <v>#REF!</v>
      </c>
      <c r="E4" s="11" t="e">
        <f>+#REF!</f>
        <v>#REF!</v>
      </c>
      <c r="F4" s="11" t="e">
        <f>+#REF!</f>
        <v>#REF!</v>
      </c>
      <c r="G4" s="11" t="e">
        <f>+#REF!</f>
        <v>#REF!</v>
      </c>
      <c r="H4" s="11" t="e">
        <f>+#REF!</f>
        <v>#REF!</v>
      </c>
      <c r="I4" s="11" t="e">
        <f>+#REF!</f>
        <v>#REF!</v>
      </c>
      <c r="J4" s="11" t="e">
        <f>+#REF!</f>
        <v>#REF!</v>
      </c>
      <c r="K4" s="65" t="e">
        <f>+#REF!</f>
        <v>#REF!</v>
      </c>
      <c r="L4" s="66" t="e">
        <f>+#REF!</f>
        <v>#REF!</v>
      </c>
      <c r="M4" s="65" t="e">
        <f>+#REF!</f>
        <v>#REF!</v>
      </c>
      <c r="N4" s="11" t="e">
        <f>+#REF!</f>
        <v>#REF!</v>
      </c>
      <c r="O4" s="11" t="e">
        <f>+#REF!</f>
        <v>#REF!</v>
      </c>
      <c r="P4" s="11" t="e">
        <f>+#REF!</f>
        <v>#REF!</v>
      </c>
      <c r="Q4" s="11" t="e">
        <f>+#REF!</f>
        <v>#REF!</v>
      </c>
      <c r="R4" s="11" t="e">
        <f>+#REF!</f>
        <v>#REF!</v>
      </c>
      <c r="S4" s="11" t="e">
        <f>+#REF!</f>
        <v>#REF!</v>
      </c>
    </row>
    <row r="5" spans="1:19">
      <c r="A5" s="10" t="e">
        <f>+#REF!</f>
        <v>#REF!</v>
      </c>
      <c r="B5" s="10" t="e">
        <f>+#REF!</f>
        <v>#REF!</v>
      </c>
      <c r="C5" s="10" t="e">
        <f>+#REF!</f>
        <v>#REF!</v>
      </c>
      <c r="D5" s="11" t="e">
        <f>+#REF!</f>
        <v>#REF!</v>
      </c>
      <c r="E5" s="11" t="e">
        <f>+#REF!</f>
        <v>#REF!</v>
      </c>
      <c r="F5" s="11" t="e">
        <f>+#REF!</f>
        <v>#REF!</v>
      </c>
      <c r="G5" s="11" t="e">
        <f>+#REF!</f>
        <v>#REF!</v>
      </c>
      <c r="H5" s="11" t="e">
        <f>+#REF!</f>
        <v>#REF!</v>
      </c>
      <c r="I5" s="11" t="e">
        <f>+#REF!</f>
        <v>#REF!</v>
      </c>
      <c r="J5" s="11" t="e">
        <f>+#REF!</f>
        <v>#REF!</v>
      </c>
      <c r="K5" s="65" t="e">
        <f>+#REF!</f>
        <v>#REF!</v>
      </c>
      <c r="L5" s="66" t="e">
        <f>+#REF!</f>
        <v>#REF!</v>
      </c>
      <c r="M5" s="65" t="e">
        <f>+#REF!</f>
        <v>#REF!</v>
      </c>
      <c r="N5" s="11" t="e">
        <f>+#REF!</f>
        <v>#REF!</v>
      </c>
      <c r="O5" s="11" t="e">
        <f>+#REF!</f>
        <v>#REF!</v>
      </c>
      <c r="P5" s="11" t="e">
        <f>+#REF!</f>
        <v>#REF!</v>
      </c>
      <c r="Q5" s="11" t="e">
        <f>+#REF!</f>
        <v>#REF!</v>
      </c>
      <c r="R5" s="11" t="e">
        <f>+#REF!</f>
        <v>#REF!</v>
      </c>
      <c r="S5" s="11" t="e">
        <f>+#REF!</f>
        <v>#REF!</v>
      </c>
    </row>
    <row r="6" spans="1:19">
      <c r="A6" s="10" t="e">
        <f>+#REF!</f>
        <v>#REF!</v>
      </c>
      <c r="B6" s="10" t="e">
        <f>+#REF!</f>
        <v>#REF!</v>
      </c>
      <c r="C6" s="10" t="e">
        <f>+#REF!</f>
        <v>#REF!</v>
      </c>
      <c r="D6" s="11" t="e">
        <f>+#REF!</f>
        <v>#REF!</v>
      </c>
      <c r="E6" s="11" t="e">
        <f>+#REF!</f>
        <v>#REF!</v>
      </c>
      <c r="F6" s="11" t="e">
        <f>+#REF!</f>
        <v>#REF!</v>
      </c>
      <c r="G6" s="11" t="e">
        <f>+#REF!</f>
        <v>#REF!</v>
      </c>
      <c r="H6" s="11" t="e">
        <f>+#REF!</f>
        <v>#REF!</v>
      </c>
      <c r="I6" s="11" t="e">
        <f>+#REF!</f>
        <v>#REF!</v>
      </c>
      <c r="J6" s="11" t="e">
        <f>+#REF!</f>
        <v>#REF!</v>
      </c>
      <c r="K6" s="65" t="e">
        <f>+#REF!</f>
        <v>#REF!</v>
      </c>
      <c r="L6" s="66" t="e">
        <f>+#REF!</f>
        <v>#REF!</v>
      </c>
      <c r="M6" s="65" t="e">
        <f>+#REF!</f>
        <v>#REF!</v>
      </c>
      <c r="N6" s="11" t="e">
        <f>+#REF!</f>
        <v>#REF!</v>
      </c>
      <c r="O6" s="11" t="e">
        <f>+#REF!</f>
        <v>#REF!</v>
      </c>
      <c r="P6" s="11" t="e">
        <f>+#REF!</f>
        <v>#REF!</v>
      </c>
      <c r="Q6" s="11" t="e">
        <f>+#REF!</f>
        <v>#REF!</v>
      </c>
      <c r="R6" s="11" t="e">
        <f>+#REF!</f>
        <v>#REF!</v>
      </c>
      <c r="S6" s="11" t="e">
        <f>+#REF!</f>
        <v>#REF!</v>
      </c>
    </row>
    <row r="7" spans="1:19">
      <c r="A7" s="10" t="e">
        <f>+#REF!</f>
        <v>#REF!</v>
      </c>
      <c r="B7" s="10" t="e">
        <f>+#REF!</f>
        <v>#REF!</v>
      </c>
      <c r="C7" s="10" t="e">
        <f>+#REF!</f>
        <v>#REF!</v>
      </c>
      <c r="D7" s="11" t="e">
        <f>+#REF!</f>
        <v>#REF!</v>
      </c>
      <c r="E7" s="11" t="e">
        <f>+#REF!</f>
        <v>#REF!</v>
      </c>
      <c r="F7" s="11" t="e">
        <f>+#REF!</f>
        <v>#REF!</v>
      </c>
      <c r="G7" s="11" t="e">
        <f>+#REF!</f>
        <v>#REF!</v>
      </c>
      <c r="H7" s="11" t="e">
        <f>+#REF!</f>
        <v>#REF!</v>
      </c>
      <c r="I7" s="11" t="e">
        <f>+#REF!</f>
        <v>#REF!</v>
      </c>
      <c r="J7" s="11" t="e">
        <f>+#REF!</f>
        <v>#REF!</v>
      </c>
      <c r="K7" s="65" t="e">
        <f>+#REF!</f>
        <v>#REF!</v>
      </c>
      <c r="L7" s="66" t="e">
        <f>+#REF!</f>
        <v>#REF!</v>
      </c>
      <c r="M7" s="65" t="e">
        <f>+#REF!</f>
        <v>#REF!</v>
      </c>
      <c r="N7" s="11" t="e">
        <f>+#REF!</f>
        <v>#REF!</v>
      </c>
      <c r="O7" s="11" t="e">
        <f>+#REF!</f>
        <v>#REF!</v>
      </c>
      <c r="P7" s="11" t="e">
        <f>+#REF!</f>
        <v>#REF!</v>
      </c>
      <c r="Q7" s="11" t="e">
        <f>+#REF!</f>
        <v>#REF!</v>
      </c>
      <c r="R7" s="11" t="e">
        <f>+#REF!</f>
        <v>#REF!</v>
      </c>
      <c r="S7" s="11" t="e">
        <f>+#REF!</f>
        <v>#REF!</v>
      </c>
    </row>
    <row r="8" spans="1:19">
      <c r="A8" s="10" t="e">
        <f>+#REF!</f>
        <v>#REF!</v>
      </c>
      <c r="B8" s="10" t="e">
        <f>+#REF!</f>
        <v>#REF!</v>
      </c>
      <c r="C8" s="10" t="e">
        <f>+#REF!</f>
        <v>#REF!</v>
      </c>
      <c r="D8" s="11" t="e">
        <f>+#REF!</f>
        <v>#REF!</v>
      </c>
      <c r="E8" s="11" t="e">
        <f>+#REF!</f>
        <v>#REF!</v>
      </c>
      <c r="F8" s="11" t="e">
        <f>+#REF!</f>
        <v>#REF!</v>
      </c>
      <c r="G8" s="11" t="e">
        <f>+#REF!</f>
        <v>#REF!</v>
      </c>
      <c r="H8" s="11" t="e">
        <f>+#REF!</f>
        <v>#REF!</v>
      </c>
      <c r="I8" s="11" t="e">
        <f>+#REF!</f>
        <v>#REF!</v>
      </c>
      <c r="J8" s="11" t="e">
        <f>+#REF!</f>
        <v>#REF!</v>
      </c>
      <c r="K8" s="65" t="e">
        <f>+#REF!</f>
        <v>#REF!</v>
      </c>
      <c r="L8" s="66" t="e">
        <f>+#REF!</f>
        <v>#REF!</v>
      </c>
      <c r="M8" s="65" t="e">
        <f>+#REF!</f>
        <v>#REF!</v>
      </c>
      <c r="N8" s="11" t="e">
        <f>+#REF!</f>
        <v>#REF!</v>
      </c>
      <c r="O8" s="11" t="e">
        <f>+#REF!</f>
        <v>#REF!</v>
      </c>
      <c r="P8" s="11" t="e">
        <f>+#REF!</f>
        <v>#REF!</v>
      </c>
      <c r="Q8" s="11" t="e">
        <f>+#REF!</f>
        <v>#REF!</v>
      </c>
      <c r="R8" s="11" t="e">
        <f>+#REF!</f>
        <v>#REF!</v>
      </c>
      <c r="S8" s="11" t="e">
        <f>+#REF!</f>
        <v>#REF!</v>
      </c>
    </row>
    <row r="9" spans="1:19">
      <c r="A9" s="10" t="e">
        <f>+#REF!</f>
        <v>#REF!</v>
      </c>
      <c r="B9" s="10" t="e">
        <f>+#REF!</f>
        <v>#REF!</v>
      </c>
      <c r="C9" s="10" t="e">
        <f>+#REF!</f>
        <v>#REF!</v>
      </c>
      <c r="D9" s="11" t="e">
        <f>+#REF!</f>
        <v>#REF!</v>
      </c>
      <c r="E9" s="11" t="e">
        <f>+#REF!</f>
        <v>#REF!</v>
      </c>
      <c r="F9" s="11" t="e">
        <f>+#REF!</f>
        <v>#REF!</v>
      </c>
      <c r="G9" s="11" t="e">
        <f>+#REF!</f>
        <v>#REF!</v>
      </c>
      <c r="H9" s="11" t="e">
        <f>+#REF!</f>
        <v>#REF!</v>
      </c>
      <c r="I9" s="11" t="e">
        <f>+#REF!</f>
        <v>#REF!</v>
      </c>
      <c r="J9" s="11" t="e">
        <f>+#REF!</f>
        <v>#REF!</v>
      </c>
      <c r="K9" s="65" t="e">
        <f>+#REF!</f>
        <v>#REF!</v>
      </c>
      <c r="L9" s="66" t="e">
        <f>+#REF!</f>
        <v>#REF!</v>
      </c>
      <c r="M9" s="65" t="e">
        <f>+#REF!</f>
        <v>#REF!</v>
      </c>
      <c r="N9" s="11" t="e">
        <f>+#REF!</f>
        <v>#REF!</v>
      </c>
      <c r="O9" s="11" t="e">
        <f>+#REF!</f>
        <v>#REF!</v>
      </c>
      <c r="P9" s="11" t="e">
        <f>+#REF!</f>
        <v>#REF!</v>
      </c>
      <c r="Q9" s="11" t="e">
        <f>+#REF!</f>
        <v>#REF!</v>
      </c>
      <c r="R9" s="11" t="e">
        <f>+#REF!</f>
        <v>#REF!</v>
      </c>
      <c r="S9" s="11" t="e">
        <f>+#REF!</f>
        <v>#REF!</v>
      </c>
    </row>
    <row r="10" spans="1:19">
      <c r="A10" s="10" t="e">
        <f>+#REF!</f>
        <v>#REF!</v>
      </c>
      <c r="B10" s="10" t="e">
        <f>+#REF!</f>
        <v>#REF!</v>
      </c>
      <c r="C10" s="10" t="e">
        <f>+#REF!</f>
        <v>#REF!</v>
      </c>
      <c r="D10" s="11" t="e">
        <f>+#REF!</f>
        <v>#REF!</v>
      </c>
      <c r="E10" s="11" t="e">
        <f>+#REF!</f>
        <v>#REF!</v>
      </c>
      <c r="F10" s="11" t="e">
        <f>+#REF!</f>
        <v>#REF!</v>
      </c>
      <c r="G10" s="11" t="e">
        <f>+#REF!</f>
        <v>#REF!</v>
      </c>
      <c r="H10" s="11" t="e">
        <f>+#REF!</f>
        <v>#REF!</v>
      </c>
      <c r="I10" s="11" t="e">
        <f>+#REF!</f>
        <v>#REF!</v>
      </c>
      <c r="J10" s="11" t="e">
        <f>+#REF!</f>
        <v>#REF!</v>
      </c>
      <c r="K10" s="65" t="e">
        <f>+#REF!</f>
        <v>#REF!</v>
      </c>
      <c r="L10" s="66" t="e">
        <f>+#REF!</f>
        <v>#REF!</v>
      </c>
      <c r="M10" s="65" t="e">
        <f>+#REF!</f>
        <v>#REF!</v>
      </c>
      <c r="N10" s="11" t="e">
        <f>+#REF!</f>
        <v>#REF!</v>
      </c>
      <c r="O10" s="11" t="e">
        <f>+#REF!</f>
        <v>#REF!</v>
      </c>
      <c r="P10" s="11" t="e">
        <f>+#REF!</f>
        <v>#REF!</v>
      </c>
      <c r="Q10" s="11" t="e">
        <f>+#REF!</f>
        <v>#REF!</v>
      </c>
      <c r="R10" s="11" t="e">
        <f>+#REF!</f>
        <v>#REF!</v>
      </c>
      <c r="S10" s="11" t="e">
        <f>+#REF!</f>
        <v>#REF!</v>
      </c>
    </row>
  </sheetData>
  <mergeCells count="2">
    <mergeCell ref="N2:Q2"/>
    <mergeCell ref="E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Codos 22,5º</vt:lpstr>
      <vt:lpstr>Codos 45º</vt:lpstr>
      <vt:lpstr>Codos 90º</vt:lpstr>
      <vt:lpstr>Tes_(más desfav)</vt:lpstr>
      <vt:lpstr>Tapón</vt:lpstr>
      <vt:lpstr>Reducciones</vt:lpstr>
      <vt:lpstr>Tablas Tipo Terreno</vt:lpstr>
      <vt:lpstr>Resumen Codos</vt:lpstr>
      <vt:lpstr>Resumen Tes (segun Epanet)</vt:lpstr>
      <vt:lpstr>Resumen Tes (más desfv)</vt:lpstr>
      <vt:lpstr>Resumen Tapón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nmacias</dc:creator>
  <cp:lastModifiedBy>jdelgado</cp:lastModifiedBy>
  <dcterms:created xsi:type="dcterms:W3CDTF">2018-07-02T13:50:13Z</dcterms:created>
  <dcterms:modified xsi:type="dcterms:W3CDTF">2019-05-08T17:24:51Z</dcterms:modified>
</cp:coreProperties>
</file>