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976" tabRatio="884" activeTab="0"/>
  </bookViews>
  <sheets>
    <sheet name="Trat.herb." sheetId="1" r:id="rId1"/>
    <sheet name="Metodología" sheetId="2" r:id="rId2"/>
  </sheets>
  <definedNames>
    <definedName name="_xlnm.Print_Area" localSheetId="1">'Metodología'!$A$1:$A$31</definedName>
    <definedName name="_xlnm.Print_Area" localSheetId="0">'Trat.herb.'!$A$1:$K$70</definedName>
  </definedNames>
  <calcPr fullCalcOnLoad="1"/>
</workbook>
</file>

<file path=xl/sharedStrings.xml><?xml version="1.0" encoding="utf-8"?>
<sst xmlns="http://schemas.openxmlformats.org/spreadsheetml/2006/main" count="180" uniqueCount="136">
  <si>
    <t>OPERACIÓN:</t>
  </si>
  <si>
    <t>Anchura apero</t>
  </si>
  <si>
    <t xml:space="preserve">APERO: </t>
  </si>
  <si>
    <t>Baja</t>
  </si>
  <si>
    <t>Media</t>
  </si>
  <si>
    <t>m</t>
  </si>
  <si>
    <t>Alta</t>
  </si>
  <si>
    <t>km/h</t>
  </si>
  <si>
    <t>kg</t>
  </si>
  <si>
    <t>Eficiencia de trabajo</t>
  </si>
  <si>
    <t>h/ha</t>
  </si>
  <si>
    <t>Eficiencia</t>
  </si>
  <si>
    <t>ha/h</t>
  </si>
  <si>
    <t>Nivel de carga de trabajo (%)</t>
  </si>
  <si>
    <t>CV</t>
  </si>
  <si>
    <t>%</t>
  </si>
  <si>
    <t>Potencia tractor necesaria</t>
  </si>
  <si>
    <t>Nivel potencia tractor (CV)</t>
  </si>
  <si>
    <t>Mediano</t>
  </si>
  <si>
    <t>Grande</t>
  </si>
  <si>
    <t>Muy grande</t>
  </si>
  <si>
    <t>Consumo de combustible</t>
  </si>
  <si>
    <t>Consumo combustible</t>
  </si>
  <si>
    <t>Consumo de aceite</t>
  </si>
  <si>
    <t>Carga</t>
  </si>
  <si>
    <t>Horas trabajo anuales</t>
  </si>
  <si>
    <t>h/año</t>
  </si>
  <si>
    <t>Precio adquisición</t>
  </si>
  <si>
    <t>€</t>
  </si>
  <si>
    <t>amort. - desgaste</t>
  </si>
  <si>
    <t>h</t>
  </si>
  <si>
    <t>€/h</t>
  </si>
  <si>
    <t>amort. - obsolescencia</t>
  </si>
  <si>
    <t>años</t>
  </si>
  <si>
    <t>interés</t>
  </si>
  <si>
    <t>seguros</t>
  </si>
  <si>
    <t>% PA</t>
  </si>
  <si>
    <t>resguardo</t>
  </si>
  <si>
    <t>mantenim-reparaciones</t>
  </si>
  <si>
    <t>€/ha</t>
  </si>
  <si>
    <t>Coste total</t>
  </si>
  <si>
    <t>ha/año</t>
  </si>
  <si>
    <t>Tractor auxiliar</t>
  </si>
  <si>
    <t>kW</t>
  </si>
  <si>
    <t>horas</t>
  </si>
  <si>
    <t>€/L</t>
  </si>
  <si>
    <t>€/kW</t>
  </si>
  <si>
    <t>Seguros</t>
  </si>
  <si>
    <t>Resguardo</t>
  </si>
  <si>
    <t>L/h-kW</t>
  </si>
  <si>
    <t>L/h</t>
  </si>
  <si>
    <t>Velocidad de trabajo</t>
  </si>
  <si>
    <t>Peso apero (vacío)</t>
  </si>
  <si>
    <t>consumos</t>
  </si>
  <si>
    <t>anchura alta</t>
  </si>
  <si>
    <t>anchura normal</t>
  </si>
  <si>
    <t>RESULTADOS MAPA</t>
  </si>
  <si>
    <t>L</t>
  </si>
  <si>
    <t>Anchura apero (m)</t>
  </si>
  <si>
    <t>Nivel de carga del tractor</t>
  </si>
  <si>
    <t>Potencia necesaria</t>
  </si>
  <si>
    <t xml:space="preserve">Caudal bomba </t>
  </si>
  <si>
    <t>Presión del líquido</t>
  </si>
  <si>
    <t>bar</t>
  </si>
  <si>
    <t>Potencia de accionam.</t>
  </si>
  <si>
    <t>Capacidad del depósito</t>
  </si>
  <si>
    <t>Coef. Esfuerzo de tracción</t>
  </si>
  <si>
    <t>Pequeño</t>
  </si>
  <si>
    <t>Bajo</t>
  </si>
  <si>
    <t>Medio</t>
  </si>
  <si>
    <t>Alto</t>
  </si>
  <si>
    <t>COSTES DE UTILIZACIÓN</t>
  </si>
  <si>
    <t>COSTES DE POSESIÓN</t>
  </si>
  <si>
    <t>Coste gasóleo</t>
  </si>
  <si>
    <t>L/ha</t>
  </si>
  <si>
    <t>Coste combustible</t>
  </si>
  <si>
    <t>Capacidad trabajo teórica</t>
  </si>
  <si>
    <t>Capacidad trabajo real</t>
  </si>
  <si>
    <t>Factor (L/h-kW)</t>
  </si>
  <si>
    <t>0,75 L/ha</t>
  </si>
  <si>
    <t>No hay datos de ASAE</t>
  </si>
  <si>
    <t>Rendimiento acc. Pulveriz.</t>
  </si>
  <si>
    <t>1,1 L/ha</t>
  </si>
  <si>
    <t>Pulverizador de barras arrastrado</t>
  </si>
  <si>
    <t>Pulverizador de barras suspendido</t>
  </si>
  <si>
    <t>L/min</t>
  </si>
  <si>
    <t>Pot a la barra i/rod+desliz</t>
  </si>
  <si>
    <t>Tipo de tractor escogido</t>
  </si>
  <si>
    <t>Potencia tractor escogido</t>
  </si>
  <si>
    <t>Utilización anual</t>
  </si>
  <si>
    <t>€/h s/comb</t>
  </si>
  <si>
    <t>Baja (500 h/año)</t>
  </si>
  <si>
    <t>Alta (1.000 h/año)</t>
  </si>
  <si>
    <t>Utilización apero (h/año)</t>
  </si>
  <si>
    <t>AUXILIAR</t>
  </si>
  <si>
    <t>€/m</t>
  </si>
  <si>
    <t>Hipótesis tractor auxiliar</t>
  </si>
  <si>
    <t>Costes horarios tractor auxiliar  (€/h)</t>
  </si>
  <si>
    <t>Precio adquis.</t>
  </si>
  <si>
    <t>€/h s/comb.</t>
  </si>
  <si>
    <t>Amortización</t>
  </si>
  <si>
    <t>Tasa interés</t>
  </si>
  <si>
    <t>Mant.-Reparac</t>
  </si>
  <si>
    <t>Cons.carga media</t>
  </si>
  <si>
    <t>Tractor + Apero</t>
  </si>
  <si>
    <t xml:space="preserve"> +combustible</t>
  </si>
  <si>
    <t>Se debe escoger previamente entre pulverizador de barras arrastrado o suspendido. Una vez hecho esto, los datos de partida de esta operación son los siguientes:</t>
  </si>
  <si>
    <t xml:space="preserve">Pulverizador de barras suspendido: alta (16 m) y baja (12 m). </t>
  </si>
  <si>
    <t>Pulverizador de barras arrastrado: alta (24 m) y baja (18 m).</t>
  </si>
  <si>
    <t>Las hipótesis establecidas para el cálculo de los costes son las siguientes:</t>
  </si>
  <si>
    <t>Utilización anual apero: En función de las horas de trabajo anuales elegidas y de la capacidad de trabajo se obtiene la superficie anual trabajada por el apero en ha/año.</t>
  </si>
  <si>
    <t>Precio adquisición tractor</t>
  </si>
  <si>
    <t xml:space="preserve"> €/kW de potencia</t>
  </si>
  <si>
    <t>-          Anchura del apero:</t>
  </si>
  <si>
    <t>-          Eficiencia de la operación: Baja, media o alta (se recomienda escoger media para esta operación puesto que es la situación más habitual)</t>
  </si>
  <si>
    <t>-          Nivel de carga del tractor: Bajo, medio o alto (se recomienda poner un nivel bajo para esta operación)</t>
  </si>
  <si>
    <t>-          Velocidad de trabajo: Es un valor tomado de las velocidades recomendadas de trabajo.</t>
  </si>
  <si>
    <t>-          Caudal de la bomba: Se calcula como un 10 % del volumen del depósito</t>
  </si>
  <si>
    <t>-          Presión del líquido: Expresado en bar</t>
  </si>
  <si>
    <t xml:space="preserve">-          Rendimiento de accionamiento del pulverizador: Se considera que se pierde un 50% de la potencia suministrada por el tractor para accionar el pulverizador. </t>
  </si>
  <si>
    <t>-          Coeficiente de esfuerzo de tracción: Se ha tomado un valor de 0,1.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</si>
  <si>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</si>
  <si>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</si>
  <si>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Precio de adquisición: Estimado en 400 €/m de anchura de trabajo Amortización por desgaste: 1.000  h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</si>
  <si>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</si>
  <si>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</si>
  <si>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</si>
  <si>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Mantenimiento y reparaciones: 0,6 €/ha</t>
  </si>
  <si>
    <t>-          Utilización anual tractor auxiliar: Se han estimado dos rangos diferentes de trabajo, 500 y 1.000 h/año.</t>
  </si>
  <si>
    <t>-          Peso del apero en vacío: Se ha tomado como la mitad de la capacidad del depósito</t>
  </si>
  <si>
    <t xml:space="preserve">-          Peso del equipo: Se genera en función de la anchura de trabajo </t>
  </si>
  <si>
    <t>-          Coste de combustible:1,00 €/L</t>
  </si>
  <si>
    <t>Tratamiento cultivos bajos</t>
  </si>
  <si>
    <t>Tratamiento con pulverizador de barra sobre cultivos bajos</t>
  </si>
  <si>
    <t>-          Horas de trabajo anuales: Se han estimado dos rangos diferentes de utilización del apero al año, baja (25 h/año) y alta (50 h/año) para los supendidos, y 50 y 100 h/año para los arrastrados</t>
  </si>
  <si>
    <t>-          Interés:  5 %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</si>
</sst>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"/>
    <numFmt numFmtId="172" formatCode="0.0000"/>
    <numFmt numFmtId="173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color indexed="9"/>
      <name val="Arial"/>
      <family val="2"/>
    </font>
    <font>
      <sz val="11"/>
      <color indexed="22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42"/>
      <name val="Arial"/>
      <family val="2"/>
    </font>
    <font>
      <sz val="11"/>
      <color indexed="42"/>
      <name val="Arial"/>
      <family val="2"/>
    </font>
    <font>
      <b/>
      <sz val="11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0" fontId="4" fillId="34" borderId="0" xfId="0" applyFont="1" applyFill="1" applyAlignment="1">
      <alignment horizontal="justify" wrapText="1"/>
    </xf>
    <xf numFmtId="49" fontId="5" fillId="34" borderId="0" xfId="0" applyNumberFormat="1" applyFont="1" applyFill="1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49" fontId="4" fillId="34" borderId="0" xfId="0" applyNumberFormat="1" applyFont="1" applyFill="1" applyAlignment="1">
      <alignment horizontal="justify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 applyProtection="1">
      <alignment/>
      <protection hidden="1" locked="0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8" fillId="34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vertical="top" wrapText="1"/>
    </xf>
    <xf numFmtId="0" fontId="10" fillId="34" borderId="14" xfId="0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0" fontId="6" fillId="34" borderId="15" xfId="0" applyFont="1" applyFill="1" applyBorder="1" applyAlignment="1">
      <alignment/>
    </xf>
    <xf numFmtId="1" fontId="6" fillId="33" borderId="11" xfId="0" applyNumberFormat="1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3" fontId="6" fillId="33" borderId="0" xfId="0" applyNumberFormat="1" applyFont="1" applyFill="1" applyBorder="1" applyAlignment="1" applyProtection="1">
      <alignment horizontal="center"/>
      <protection hidden="1"/>
    </xf>
    <xf numFmtId="0" fontId="8" fillId="33" borderId="14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14" xfId="0" applyFont="1" applyFill="1" applyBorder="1" applyAlignment="1">
      <alignment horizontal="center"/>
    </xf>
    <xf numFmtId="0" fontId="6" fillId="0" borderId="0" xfId="0" applyFont="1" applyAlignment="1">
      <alignment/>
    </xf>
    <xf numFmtId="1" fontId="6" fillId="33" borderId="0" xfId="0" applyNumberFormat="1" applyFont="1" applyFill="1" applyBorder="1" applyAlignment="1" applyProtection="1">
      <alignment horizontal="center"/>
      <protection hidden="1"/>
    </xf>
    <xf numFmtId="0" fontId="6" fillId="33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2" fontId="13" fillId="33" borderId="0" xfId="0" applyNumberFormat="1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164" fontId="13" fillId="33" borderId="0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 applyProtection="1">
      <alignment/>
      <protection hidden="1" locked="0"/>
    </xf>
    <xf numFmtId="0" fontId="7" fillId="0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165" fontId="6" fillId="0" borderId="16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>
      <alignment/>
    </xf>
    <xf numFmtId="0" fontId="6" fillId="33" borderId="15" xfId="0" applyFont="1" applyFill="1" applyBorder="1" applyAlignment="1" applyProtection="1">
      <alignment horizontal="center"/>
      <protection hidden="1"/>
    </xf>
    <xf numFmtId="0" fontId="8" fillId="33" borderId="17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"/>
      <protection hidden="1"/>
    </xf>
    <xf numFmtId="3" fontId="7" fillId="0" borderId="0" xfId="0" applyNumberFormat="1" applyFont="1" applyBorder="1" applyAlignment="1">
      <alignment horizontal="center"/>
    </xf>
    <xf numFmtId="0" fontId="6" fillId="35" borderId="18" xfId="0" applyFont="1" applyFill="1" applyBorder="1" applyAlignment="1" applyProtection="1">
      <alignment horizontal="center"/>
      <protection hidden="1"/>
    </xf>
    <xf numFmtId="0" fontId="6" fillId="35" borderId="19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165" fontId="6" fillId="33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2" fontId="14" fillId="33" borderId="0" xfId="0" applyNumberFormat="1" applyFont="1" applyFill="1" applyBorder="1" applyAlignment="1" applyProtection="1">
      <alignment horizontal="center"/>
      <protection hidden="1" locked="0"/>
    </xf>
    <xf numFmtId="0" fontId="8" fillId="33" borderId="20" xfId="0" applyFont="1" applyFill="1" applyBorder="1" applyAlignment="1">
      <alignment horizontal="center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/>
    </xf>
    <xf numFmtId="0" fontId="12" fillId="33" borderId="21" xfId="0" applyFont="1" applyFill="1" applyBorder="1" applyAlignment="1">
      <alignment horizontal="left"/>
    </xf>
    <xf numFmtId="0" fontId="12" fillId="33" borderId="22" xfId="0" applyFont="1" applyFill="1" applyBorder="1" applyAlignment="1">
      <alignment horizontal="left"/>
    </xf>
    <xf numFmtId="164" fontId="13" fillId="33" borderId="23" xfId="0" applyNumberFormat="1" applyFont="1" applyFill="1" applyBorder="1" applyAlignment="1" applyProtection="1">
      <alignment horizontal="center"/>
      <protection hidden="1"/>
    </xf>
    <xf numFmtId="0" fontId="12" fillId="33" borderId="24" xfId="0" applyFont="1" applyFill="1" applyBorder="1" applyAlignment="1">
      <alignment horizontal="left"/>
    </xf>
    <xf numFmtId="0" fontId="12" fillId="33" borderId="15" xfId="0" applyFont="1" applyFill="1" applyBorder="1" applyAlignment="1">
      <alignment horizontal="left"/>
    </xf>
    <xf numFmtId="164" fontId="13" fillId="33" borderId="15" xfId="0" applyNumberFormat="1" applyFont="1" applyFill="1" applyBorder="1" applyAlignment="1" applyProtection="1">
      <alignment horizontal="center"/>
      <protection hidden="1"/>
    </xf>
    <xf numFmtId="0" fontId="12" fillId="33" borderId="17" xfId="0" applyFont="1" applyFill="1" applyBorder="1" applyAlignment="1">
      <alignment horizontal="center"/>
    </xf>
    <xf numFmtId="165" fontId="6" fillId="34" borderId="14" xfId="0" applyNumberFormat="1" applyFont="1" applyFill="1" applyBorder="1" applyAlignment="1" applyProtection="1">
      <alignment horizontal="center"/>
      <protection/>
    </xf>
    <xf numFmtId="0" fontId="6" fillId="35" borderId="18" xfId="0" applyFont="1" applyFill="1" applyBorder="1" applyAlignment="1">
      <alignment horizontal="center"/>
    </xf>
    <xf numFmtId="0" fontId="6" fillId="35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6" fillId="33" borderId="11" xfId="0" applyFont="1" applyFill="1" applyBorder="1" applyAlignment="1" applyProtection="1">
      <alignment horizontal="center"/>
      <protection hidden="1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14" fillId="0" borderId="16" xfId="0" applyFont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3" fontId="14" fillId="0" borderId="16" xfId="0" applyNumberFormat="1" applyFont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center"/>
    </xf>
    <xf numFmtId="3" fontId="14" fillId="33" borderId="0" xfId="0" applyNumberFormat="1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>
      <alignment/>
    </xf>
    <xf numFmtId="3" fontId="6" fillId="34" borderId="14" xfId="0" applyNumberFormat="1" applyFont="1" applyFill="1" applyBorder="1" applyAlignment="1">
      <alignment horizontal="center"/>
    </xf>
    <xf numFmtId="3" fontId="14" fillId="33" borderId="0" xfId="0" applyNumberFormat="1" applyFont="1" applyFill="1" applyBorder="1" applyAlignment="1" applyProtection="1">
      <alignment horizontal="center"/>
      <protection hidden="1" locked="0"/>
    </xf>
    <xf numFmtId="0" fontId="14" fillId="33" borderId="0" xfId="0" applyFont="1" applyFill="1" applyBorder="1" applyAlignment="1" applyProtection="1">
      <alignment horizontal="center"/>
      <protection hidden="1" locked="0"/>
    </xf>
    <xf numFmtId="0" fontId="8" fillId="34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1" fontId="8" fillId="0" borderId="16" xfId="0" applyNumberFormat="1" applyFont="1" applyBorder="1" applyAlignment="1" applyProtection="1">
      <alignment horizontal="center"/>
      <protection hidden="1"/>
    </xf>
    <xf numFmtId="3" fontId="8" fillId="34" borderId="14" xfId="0" applyNumberFormat="1" applyFont="1" applyFill="1" applyBorder="1" applyAlignment="1">
      <alignment horizontal="center"/>
    </xf>
    <xf numFmtId="2" fontId="8" fillId="0" borderId="16" xfId="0" applyNumberFormat="1" applyFont="1" applyBorder="1" applyAlignment="1" applyProtection="1">
      <alignment horizontal="center"/>
      <protection hidden="1"/>
    </xf>
    <xf numFmtId="1" fontId="8" fillId="34" borderId="14" xfId="0" applyNumberFormat="1" applyFont="1" applyFill="1" applyBorder="1" applyAlignment="1">
      <alignment horizontal="center"/>
    </xf>
    <xf numFmtId="2" fontId="14" fillId="33" borderId="25" xfId="0" applyNumberFormat="1" applyFont="1" applyFill="1" applyBorder="1" applyAlignment="1" applyProtection="1">
      <alignment horizontal="center"/>
      <protection hidden="1" locked="0"/>
    </xf>
    <xf numFmtId="0" fontId="8" fillId="33" borderId="25" xfId="0" applyFont="1" applyFill="1" applyBorder="1" applyAlignment="1">
      <alignment horizontal="center"/>
    </xf>
    <xf numFmtId="2" fontId="6" fillId="33" borderId="25" xfId="0" applyNumberFormat="1" applyFont="1" applyFill="1" applyBorder="1" applyAlignment="1" applyProtection="1">
      <alignment horizontal="center"/>
      <protection hidden="1"/>
    </xf>
    <xf numFmtId="0" fontId="8" fillId="33" borderId="20" xfId="0" applyFont="1" applyFill="1" applyBorder="1" applyAlignment="1">
      <alignment/>
    </xf>
    <xf numFmtId="0" fontId="12" fillId="33" borderId="26" xfId="0" applyFont="1" applyFill="1" applyBorder="1" applyAlignment="1">
      <alignment horizontal="left"/>
    </xf>
    <xf numFmtId="0" fontId="6" fillId="33" borderId="24" xfId="0" applyFont="1" applyFill="1" applyBorder="1" applyAlignment="1">
      <alignment/>
    </xf>
    <xf numFmtId="0" fontId="8" fillId="33" borderId="15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center"/>
    </xf>
    <xf numFmtId="2" fontId="12" fillId="33" borderId="15" xfId="0" applyNumberFormat="1" applyFont="1" applyFill="1" applyBorder="1" applyAlignment="1">
      <alignment horizontal="center"/>
    </xf>
    <xf numFmtId="0" fontId="12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6" fillId="0" borderId="16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center"/>
    </xf>
    <xf numFmtId="2" fontId="6" fillId="0" borderId="16" xfId="0" applyNumberFormat="1" applyFont="1" applyBorder="1" applyAlignment="1" applyProtection="1">
      <alignment horizontal="center" vertical="center"/>
      <protection hidden="1"/>
    </xf>
    <xf numFmtId="2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16" fillId="34" borderId="0" xfId="0" applyFont="1" applyFill="1" applyBorder="1" applyAlignment="1" applyProtection="1">
      <alignment/>
      <protection hidden="1"/>
    </xf>
    <xf numFmtId="0" fontId="17" fillId="0" borderId="16" xfId="0" applyFont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2" fontId="13" fillId="34" borderId="0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4" fontId="6" fillId="0" borderId="16" xfId="0" applyNumberFormat="1" applyFont="1" applyBorder="1" applyAlignment="1" applyProtection="1">
      <alignment horizontal="center" vertical="center"/>
      <protection hidden="1"/>
    </xf>
    <xf numFmtId="0" fontId="12" fillId="34" borderId="0" xfId="0" applyFont="1" applyFill="1" applyBorder="1" applyAlignment="1">
      <alignment horizontal="right"/>
    </xf>
    <xf numFmtId="2" fontId="13" fillId="34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0" fontId="8" fillId="0" borderId="16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5" borderId="28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33" borderId="13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8" fillId="33" borderId="24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19" xfId="0" applyFont="1" applyFill="1" applyBorder="1" applyAlignment="1" applyProtection="1">
      <alignment horizontal="center"/>
      <protection hidden="1"/>
    </xf>
    <xf numFmtId="0" fontId="6" fillId="0" borderId="16" xfId="0" applyFont="1" applyBorder="1" applyAlignment="1">
      <alignment horizontal="center"/>
    </xf>
    <xf numFmtId="0" fontId="8" fillId="33" borderId="29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1" fillId="37" borderId="28" xfId="0" applyFont="1" applyFill="1" applyBorder="1" applyAlignment="1">
      <alignment horizontal="center"/>
    </xf>
    <xf numFmtId="0" fontId="11" fillId="37" borderId="19" xfId="0" applyFont="1" applyFill="1" applyBorder="1" applyAlignment="1">
      <alignment horizontal="center"/>
    </xf>
    <xf numFmtId="2" fontId="11" fillId="37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Border="1" applyAlignment="1">
      <alignment horizontal="left"/>
    </xf>
    <xf numFmtId="0" fontId="6" fillId="0" borderId="16" xfId="0" applyFont="1" applyFill="1" applyBorder="1" applyAlignment="1" applyProtection="1">
      <alignment horizontal="center"/>
      <protection/>
    </xf>
    <xf numFmtId="0" fontId="8" fillId="38" borderId="16" xfId="0" applyFont="1" applyFill="1" applyBorder="1" applyAlignment="1">
      <alignment horizontal="left"/>
    </xf>
    <xf numFmtId="0" fontId="11" fillId="37" borderId="1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0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17.emf" /><Relationship Id="rId5" Type="http://schemas.openxmlformats.org/officeDocument/2006/relationships/image" Target="../media/image10.emf" /><Relationship Id="rId6" Type="http://schemas.openxmlformats.org/officeDocument/2006/relationships/image" Target="../media/image16.emf" /><Relationship Id="rId7" Type="http://schemas.openxmlformats.org/officeDocument/2006/relationships/image" Target="../media/image14.emf" /><Relationship Id="rId8" Type="http://schemas.openxmlformats.org/officeDocument/2006/relationships/image" Target="../media/image18.emf" /><Relationship Id="rId9" Type="http://schemas.openxmlformats.org/officeDocument/2006/relationships/image" Target="../media/image7.emf" /><Relationship Id="rId10" Type="http://schemas.openxmlformats.org/officeDocument/2006/relationships/image" Target="../media/image3.emf" /><Relationship Id="rId11" Type="http://schemas.openxmlformats.org/officeDocument/2006/relationships/image" Target="../media/image5.emf" /><Relationship Id="rId12" Type="http://schemas.openxmlformats.org/officeDocument/2006/relationships/image" Target="../media/image2.emf" /><Relationship Id="rId13" Type="http://schemas.openxmlformats.org/officeDocument/2006/relationships/image" Target="../media/image1.emf" /><Relationship Id="rId14" Type="http://schemas.openxmlformats.org/officeDocument/2006/relationships/image" Target="../media/image12.emf" /><Relationship Id="rId15" Type="http://schemas.openxmlformats.org/officeDocument/2006/relationships/image" Target="../media/image6.emf" /><Relationship Id="rId16" Type="http://schemas.openxmlformats.org/officeDocument/2006/relationships/image" Target="../media/image19.emf" /><Relationship Id="rId17" Type="http://schemas.openxmlformats.org/officeDocument/2006/relationships/image" Target="../media/image15.emf" /><Relationship Id="rId18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7</xdr:row>
      <xdr:rowOff>19050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24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16</xdr:row>
      <xdr:rowOff>19050</xdr:rowOff>
    </xdr:from>
    <xdr:to>
      <xdr:col>7</xdr:col>
      <xdr:colOff>276225</xdr:colOff>
      <xdr:row>17</xdr:row>
      <xdr:rowOff>0</xdr:rowOff>
    </xdr:to>
    <xdr:pic>
      <xdr:nvPicPr>
        <xdr:cNvPr id="2" name="Optio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29432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17</xdr:row>
      <xdr:rowOff>28575</xdr:rowOff>
    </xdr:from>
    <xdr:to>
      <xdr:col>7</xdr:col>
      <xdr:colOff>276225</xdr:colOff>
      <xdr:row>18</xdr:row>
      <xdr:rowOff>9525</xdr:rowOff>
    </xdr:to>
    <xdr:pic>
      <xdr:nvPicPr>
        <xdr:cNvPr id="3" name="Option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316230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18</xdr:row>
      <xdr:rowOff>38100</xdr:rowOff>
    </xdr:from>
    <xdr:to>
      <xdr:col>7</xdr:col>
      <xdr:colOff>276225</xdr:colOff>
      <xdr:row>19</xdr:row>
      <xdr:rowOff>19050</xdr:rowOff>
    </xdr:to>
    <xdr:pic>
      <xdr:nvPicPr>
        <xdr:cNvPr id="4" name="Option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338137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21</xdr:row>
      <xdr:rowOff>9525</xdr:rowOff>
    </xdr:from>
    <xdr:to>
      <xdr:col>7</xdr:col>
      <xdr:colOff>276225</xdr:colOff>
      <xdr:row>21</xdr:row>
      <xdr:rowOff>142875</xdr:rowOff>
    </xdr:to>
    <xdr:pic>
      <xdr:nvPicPr>
        <xdr:cNvPr id="5" name="Option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0075" y="39814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22</xdr:row>
      <xdr:rowOff>9525</xdr:rowOff>
    </xdr:from>
    <xdr:to>
      <xdr:col>7</xdr:col>
      <xdr:colOff>276225</xdr:colOff>
      <xdr:row>22</xdr:row>
      <xdr:rowOff>142875</xdr:rowOff>
    </xdr:to>
    <xdr:pic>
      <xdr:nvPicPr>
        <xdr:cNvPr id="6" name="Option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0075" y="41910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23</xdr:row>
      <xdr:rowOff>28575</xdr:rowOff>
    </xdr:from>
    <xdr:to>
      <xdr:col>7</xdr:col>
      <xdr:colOff>276225</xdr:colOff>
      <xdr:row>24</xdr:row>
      <xdr:rowOff>9525</xdr:rowOff>
    </xdr:to>
    <xdr:pic>
      <xdr:nvPicPr>
        <xdr:cNvPr id="7" name="Option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0075" y="441960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12</xdr:row>
      <xdr:rowOff>28575</xdr:rowOff>
    </xdr:from>
    <xdr:to>
      <xdr:col>7</xdr:col>
      <xdr:colOff>276225</xdr:colOff>
      <xdr:row>13</xdr:row>
      <xdr:rowOff>9525</xdr:rowOff>
    </xdr:to>
    <xdr:pic>
      <xdr:nvPicPr>
        <xdr:cNvPr id="8" name="OptionButton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0075" y="21145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13</xdr:row>
      <xdr:rowOff>28575</xdr:rowOff>
    </xdr:from>
    <xdr:to>
      <xdr:col>7</xdr:col>
      <xdr:colOff>276225</xdr:colOff>
      <xdr:row>14</xdr:row>
      <xdr:rowOff>9525</xdr:rowOff>
    </xdr:to>
    <xdr:pic>
      <xdr:nvPicPr>
        <xdr:cNvPr id="9" name="OptionButton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0075" y="232410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1200150</xdr:colOff>
      <xdr:row>8</xdr:row>
      <xdr:rowOff>152400</xdr:rowOff>
    </xdr:from>
    <xdr:to>
      <xdr:col>7</xdr:col>
      <xdr:colOff>276225</xdr:colOff>
      <xdr:row>10</xdr:row>
      <xdr:rowOff>28575</xdr:rowOff>
    </xdr:to>
    <xdr:pic>
      <xdr:nvPicPr>
        <xdr:cNvPr id="10" name="ComboBox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52600" y="1457325"/>
          <a:ext cx="2790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26</xdr:row>
      <xdr:rowOff>28575</xdr:rowOff>
    </xdr:from>
    <xdr:to>
      <xdr:col>7</xdr:col>
      <xdr:colOff>266700</xdr:colOff>
      <xdr:row>27</xdr:row>
      <xdr:rowOff>9525</xdr:rowOff>
    </xdr:to>
    <xdr:pic>
      <xdr:nvPicPr>
        <xdr:cNvPr id="11" name="Option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91025" y="50482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27</xdr:row>
      <xdr:rowOff>28575</xdr:rowOff>
    </xdr:from>
    <xdr:to>
      <xdr:col>7</xdr:col>
      <xdr:colOff>266700</xdr:colOff>
      <xdr:row>28</xdr:row>
      <xdr:rowOff>9525</xdr:rowOff>
    </xdr:to>
    <xdr:pic>
      <xdr:nvPicPr>
        <xdr:cNvPr id="12" name="OptionButton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91025" y="5257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28</xdr:row>
      <xdr:rowOff>28575</xdr:rowOff>
    </xdr:from>
    <xdr:to>
      <xdr:col>7</xdr:col>
      <xdr:colOff>266700</xdr:colOff>
      <xdr:row>29</xdr:row>
      <xdr:rowOff>9525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91025" y="54673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29</xdr:row>
      <xdr:rowOff>28575</xdr:rowOff>
    </xdr:from>
    <xdr:to>
      <xdr:col>7</xdr:col>
      <xdr:colOff>266700</xdr:colOff>
      <xdr:row>30</xdr:row>
      <xdr:rowOff>9525</xdr:rowOff>
    </xdr:to>
    <xdr:pic>
      <xdr:nvPicPr>
        <xdr:cNvPr id="14" name="OptionButton1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91025" y="56769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61</xdr:row>
      <xdr:rowOff>9525</xdr:rowOff>
    </xdr:from>
    <xdr:to>
      <xdr:col>1</xdr:col>
      <xdr:colOff>257175</xdr:colOff>
      <xdr:row>62</xdr:row>
      <xdr:rowOff>0</xdr:rowOff>
    </xdr:to>
    <xdr:pic>
      <xdr:nvPicPr>
        <xdr:cNvPr id="15" name="Option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4325" y="12363450"/>
          <a:ext cx="133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62</xdr:row>
      <xdr:rowOff>9525</xdr:rowOff>
    </xdr:from>
    <xdr:to>
      <xdr:col>1</xdr:col>
      <xdr:colOff>257175</xdr:colOff>
      <xdr:row>62</xdr:row>
      <xdr:rowOff>142875</xdr:rowOff>
    </xdr:to>
    <xdr:pic>
      <xdr:nvPicPr>
        <xdr:cNvPr id="16" name="Option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4325" y="125730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46</xdr:row>
      <xdr:rowOff>19050</xdr:rowOff>
    </xdr:from>
    <xdr:to>
      <xdr:col>7</xdr:col>
      <xdr:colOff>238125</xdr:colOff>
      <xdr:row>47</xdr:row>
      <xdr:rowOff>9525</xdr:rowOff>
    </xdr:to>
    <xdr:pic>
      <xdr:nvPicPr>
        <xdr:cNvPr id="17" name="Option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62450" y="92297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47</xdr:row>
      <xdr:rowOff>38100</xdr:rowOff>
    </xdr:from>
    <xdr:to>
      <xdr:col>7</xdr:col>
      <xdr:colOff>238125</xdr:colOff>
      <xdr:row>48</xdr:row>
      <xdr:rowOff>19050</xdr:rowOff>
    </xdr:to>
    <xdr:pic>
      <xdr:nvPicPr>
        <xdr:cNvPr id="18" name="Option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62450" y="945832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5314950</xdr:colOff>
      <xdr:row>0</xdr:row>
      <xdr:rowOff>1038225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8:AH74"/>
  <sheetViews>
    <sheetView showZeros="0" tabSelected="1" zoomScalePageLayoutView="0" workbookViewId="0" topLeftCell="A4">
      <selection activeCell="F12" sqref="F12"/>
    </sheetView>
  </sheetViews>
  <sheetFormatPr defaultColWidth="11.421875" defaultRowHeight="12.75"/>
  <cols>
    <col min="1" max="1" width="2.8515625" style="8" customWidth="1"/>
    <col min="2" max="2" width="5.421875" style="8" customWidth="1"/>
    <col min="3" max="3" width="24.140625" style="8" customWidth="1"/>
    <col min="4" max="4" width="11.421875" style="9" customWidth="1"/>
    <col min="5" max="5" width="6.57421875" style="9" customWidth="1"/>
    <col min="6" max="6" width="7.00390625" style="8" customWidth="1"/>
    <col min="7" max="7" width="6.57421875" style="10" customWidth="1"/>
    <col min="8" max="8" width="4.140625" style="8" customWidth="1"/>
    <col min="9" max="9" width="10.7109375" style="8" customWidth="1"/>
    <col min="10" max="10" width="19.28125" style="8" customWidth="1"/>
    <col min="11" max="11" width="5.7109375" style="11" customWidth="1"/>
    <col min="12" max="12" width="5.7109375" style="11" hidden="1" customWidth="1"/>
    <col min="13" max="13" width="15.7109375" style="12" hidden="1" customWidth="1"/>
    <col min="14" max="14" width="10.7109375" style="12" hidden="1" customWidth="1"/>
    <col min="15" max="15" width="8.140625" style="12" hidden="1" customWidth="1"/>
    <col min="16" max="16" width="10.421875" style="12" hidden="1" customWidth="1"/>
    <col min="17" max="17" width="7.140625" style="12" customWidth="1"/>
    <col min="18" max="18" width="10.421875" style="12" customWidth="1"/>
    <col min="19" max="19" width="9.57421875" style="12" customWidth="1"/>
    <col min="20" max="21" width="7.140625" style="12" customWidth="1"/>
    <col min="22" max="28" width="7.140625" style="11" customWidth="1"/>
    <col min="29" max="29" width="11.57421875" style="8" customWidth="1"/>
    <col min="30" max="30" width="11.421875" style="13" customWidth="1"/>
    <col min="31" max="32" width="11.421875" style="8" customWidth="1"/>
    <col min="33" max="16384" width="11.57421875" style="8" customWidth="1"/>
  </cols>
  <sheetData>
    <row r="1" ht="15" customHeight="1"/>
    <row r="2" ht="10.5" customHeight="1"/>
    <row r="3" ht="11.25" customHeight="1"/>
    <row r="4" ht="11.25" customHeight="1"/>
    <row r="5" ht="13.5" customHeight="1"/>
    <row r="6" ht="12.75" customHeight="1"/>
    <row r="7" ht="14.25"/>
    <row r="8" spans="1:11" ht="14.25">
      <c r="A8" s="14"/>
      <c r="B8" s="15"/>
      <c r="C8" s="15"/>
      <c r="D8" s="16"/>
      <c r="E8" s="16"/>
      <c r="F8" s="15"/>
      <c r="G8" s="15"/>
      <c r="H8" s="17"/>
      <c r="I8" s="15"/>
      <c r="J8" s="15"/>
      <c r="K8" s="18"/>
    </row>
    <row r="9" spans="1:14" ht="12.75" customHeight="1">
      <c r="A9" s="19"/>
      <c r="B9" s="20"/>
      <c r="C9" s="21" t="s">
        <v>0</v>
      </c>
      <c r="D9" s="22" t="s">
        <v>132</v>
      </c>
      <c r="E9" s="23"/>
      <c r="F9" s="24"/>
      <c r="G9" s="24"/>
      <c r="H9" s="25"/>
      <c r="I9" s="20"/>
      <c r="J9" s="20"/>
      <c r="K9" s="26"/>
      <c r="M9" s="164" t="s">
        <v>94</v>
      </c>
      <c r="N9" s="165"/>
    </row>
    <row r="10" spans="1:34" ht="15.75" customHeight="1">
      <c r="A10" s="19"/>
      <c r="B10" s="20"/>
      <c r="C10" s="21" t="s">
        <v>2</v>
      </c>
      <c r="D10" s="28" t="e">
        <f>IF(D13=#REF!,"Pulverizador de barras suspendido","Pulverizador de barras arrastrado")</f>
        <v>#REF!</v>
      </c>
      <c r="E10" s="29"/>
      <c r="F10" s="29"/>
      <c r="G10" s="30"/>
      <c r="H10" s="20"/>
      <c r="I10" s="20"/>
      <c r="J10" s="20"/>
      <c r="K10" s="31"/>
      <c r="AF10" s="32"/>
      <c r="AG10" s="32"/>
      <c r="AH10" s="32"/>
    </row>
    <row r="11" spans="1:34" ht="16.5" customHeight="1">
      <c r="A11" s="19"/>
      <c r="B11" s="20"/>
      <c r="C11" s="20"/>
      <c r="D11" s="29"/>
      <c r="E11" s="29"/>
      <c r="F11" s="29"/>
      <c r="G11" s="30"/>
      <c r="H11" s="20"/>
      <c r="I11" s="20"/>
      <c r="J11" s="33"/>
      <c r="K11" s="31"/>
      <c r="AF11" s="32" t="s">
        <v>84</v>
      </c>
      <c r="AG11" s="32"/>
      <c r="AH11" s="32"/>
    </row>
    <row r="12" spans="1:34" ht="16.5" customHeight="1">
      <c r="A12" s="19"/>
      <c r="B12" s="171" t="s">
        <v>1</v>
      </c>
      <c r="C12" s="172"/>
      <c r="D12" s="34" t="str">
        <f>IF(AD15=TRUE,J13,IF(AD16=TRUE,J14))</f>
        <v>16</v>
      </c>
      <c r="E12" s="35" t="s">
        <v>5</v>
      </c>
      <c r="F12" s="20"/>
      <c r="G12" s="20"/>
      <c r="H12" s="25"/>
      <c r="I12" s="169" t="s">
        <v>58</v>
      </c>
      <c r="J12" s="170"/>
      <c r="K12" s="36"/>
      <c r="AF12" s="32" t="s">
        <v>83</v>
      </c>
      <c r="AG12" s="37"/>
      <c r="AH12" s="32"/>
    </row>
    <row r="13" spans="1:34" ht="16.5" customHeight="1">
      <c r="A13" s="19"/>
      <c r="B13" s="166" t="s">
        <v>65</v>
      </c>
      <c r="C13" s="167"/>
      <c r="D13" s="38">
        <f>IF(D12&lt;="12",800,IF(D12="16",1200,IF(D12="18",2000,IF(D12="24",3000))))</f>
        <v>1200</v>
      </c>
      <c r="E13" s="39" t="s">
        <v>57</v>
      </c>
      <c r="F13" s="20"/>
      <c r="G13" s="20"/>
      <c r="H13" s="40"/>
      <c r="I13" s="41" t="s">
        <v>3</v>
      </c>
      <c r="J13" s="42" t="str">
        <f>IF(AF$13="Pulverizador de barras suspendido","12","18")</f>
        <v>12</v>
      </c>
      <c r="K13" s="36"/>
      <c r="AF13" s="32" t="s">
        <v>84</v>
      </c>
      <c r="AG13" s="32"/>
      <c r="AH13" s="32"/>
    </row>
    <row r="14" spans="1:11" ht="16.5" customHeight="1">
      <c r="A14" s="19"/>
      <c r="B14" s="166" t="s">
        <v>52</v>
      </c>
      <c r="C14" s="167"/>
      <c r="D14" s="38">
        <f>0.5*D13</f>
        <v>600</v>
      </c>
      <c r="E14" s="39" t="s">
        <v>8</v>
      </c>
      <c r="F14" s="20"/>
      <c r="G14" s="20"/>
      <c r="H14" s="40"/>
      <c r="I14" s="41" t="s">
        <v>6</v>
      </c>
      <c r="J14" s="42" t="str">
        <f>IF(AF$13="Pulverizador de barras suspendido","16","24")</f>
        <v>16</v>
      </c>
      <c r="K14" s="36"/>
    </row>
    <row r="15" spans="1:30" ht="16.5" customHeight="1">
      <c r="A15" s="19"/>
      <c r="B15" s="43"/>
      <c r="C15" s="44"/>
      <c r="D15" s="45"/>
      <c r="E15" s="46"/>
      <c r="F15" s="20"/>
      <c r="G15" s="20"/>
      <c r="H15" s="25"/>
      <c r="I15" s="20"/>
      <c r="J15" s="26"/>
      <c r="K15" s="36"/>
      <c r="AD15" s="13" t="b">
        <v>0</v>
      </c>
    </row>
    <row r="16" spans="1:33" ht="16.5" customHeight="1">
      <c r="A16" s="19"/>
      <c r="B16" s="166" t="s">
        <v>61</v>
      </c>
      <c r="C16" s="167"/>
      <c r="D16" s="45">
        <f>0.1*D13</f>
        <v>120</v>
      </c>
      <c r="E16" s="39" t="s">
        <v>85</v>
      </c>
      <c r="F16" s="20"/>
      <c r="G16" s="20"/>
      <c r="H16" s="25"/>
      <c r="I16" s="169" t="s">
        <v>9</v>
      </c>
      <c r="J16" s="170"/>
      <c r="K16" s="26"/>
      <c r="AD16" s="13" t="b">
        <v>1</v>
      </c>
      <c r="AG16" s="47"/>
    </row>
    <row r="17" spans="1:11" ht="16.5" customHeight="1">
      <c r="A17" s="19"/>
      <c r="B17" s="166" t="s">
        <v>62</v>
      </c>
      <c r="C17" s="167"/>
      <c r="D17" s="45">
        <v>10</v>
      </c>
      <c r="E17" s="39" t="s">
        <v>63</v>
      </c>
      <c r="F17" s="20"/>
      <c r="G17" s="20"/>
      <c r="H17" s="40"/>
      <c r="I17" s="41" t="s">
        <v>3</v>
      </c>
      <c r="J17" s="42">
        <v>0.35</v>
      </c>
      <c r="K17" s="36"/>
    </row>
    <row r="18" spans="1:11" ht="16.5" customHeight="1">
      <c r="A18" s="19"/>
      <c r="B18" s="166" t="s">
        <v>81</v>
      </c>
      <c r="C18" s="167"/>
      <c r="D18" s="48">
        <v>50</v>
      </c>
      <c r="E18" s="39" t="s">
        <v>15</v>
      </c>
      <c r="F18" s="20"/>
      <c r="G18" s="20"/>
      <c r="H18" s="40"/>
      <c r="I18" s="41" t="s">
        <v>4</v>
      </c>
      <c r="J18" s="42">
        <v>0.5</v>
      </c>
      <c r="K18" s="36"/>
    </row>
    <row r="19" spans="1:13" ht="16.5" customHeight="1">
      <c r="A19" s="19"/>
      <c r="B19" s="166" t="s">
        <v>64</v>
      </c>
      <c r="C19" s="167"/>
      <c r="D19" s="49">
        <f>(D16*D17/600)*(1+D18/100)</f>
        <v>3</v>
      </c>
      <c r="E19" s="39" t="s">
        <v>43</v>
      </c>
      <c r="F19" s="20"/>
      <c r="G19" s="20"/>
      <c r="H19" s="40"/>
      <c r="I19" s="41" t="s">
        <v>6</v>
      </c>
      <c r="J19" s="42">
        <v>0.65</v>
      </c>
      <c r="K19" s="36"/>
      <c r="M19" s="50"/>
    </row>
    <row r="20" spans="1:30" ht="16.5" customHeight="1">
      <c r="A20" s="19"/>
      <c r="B20" s="166" t="s">
        <v>51</v>
      </c>
      <c r="C20" s="167"/>
      <c r="D20" s="45">
        <v>10</v>
      </c>
      <c r="E20" s="39" t="s">
        <v>7</v>
      </c>
      <c r="F20" s="20"/>
      <c r="G20" s="20"/>
      <c r="H20" s="25"/>
      <c r="I20" s="20"/>
      <c r="J20" s="20"/>
      <c r="K20" s="36"/>
      <c r="L20" s="51"/>
      <c r="M20" s="50"/>
      <c r="AD20" s="13" t="b">
        <v>0</v>
      </c>
    </row>
    <row r="21" spans="1:30" ht="16.5" customHeight="1">
      <c r="A21" s="19"/>
      <c r="B21" s="166" t="s">
        <v>66</v>
      </c>
      <c r="C21" s="167"/>
      <c r="D21" s="45">
        <v>0.1</v>
      </c>
      <c r="E21" s="39"/>
      <c r="F21" s="20"/>
      <c r="G21" s="20"/>
      <c r="H21" s="25"/>
      <c r="I21" s="169" t="s">
        <v>13</v>
      </c>
      <c r="J21" s="170"/>
      <c r="K21" s="36"/>
      <c r="L21" s="51"/>
      <c r="M21" s="50"/>
      <c r="AD21" s="13" t="b">
        <v>1</v>
      </c>
    </row>
    <row r="22" spans="1:30" ht="16.5" customHeight="1">
      <c r="A22" s="19"/>
      <c r="B22" s="166" t="s">
        <v>60</v>
      </c>
      <c r="C22" s="167"/>
      <c r="D22" s="48">
        <f>D19+((D13+D14))*9.8*D20*D21/3600</f>
        <v>7.9</v>
      </c>
      <c r="E22" s="39" t="s">
        <v>43</v>
      </c>
      <c r="F22" s="20"/>
      <c r="G22" s="20"/>
      <c r="H22" s="40"/>
      <c r="I22" s="41" t="s">
        <v>68</v>
      </c>
      <c r="J22" s="42">
        <v>25</v>
      </c>
      <c r="K22" s="36"/>
      <c r="L22" s="51"/>
      <c r="M22" s="168" t="s">
        <v>80</v>
      </c>
      <c r="N22" s="168"/>
      <c r="AD22" s="13" t="b">
        <v>0</v>
      </c>
    </row>
    <row r="23" spans="1:30" ht="16.5" customHeight="1">
      <c r="A23" s="19"/>
      <c r="B23" s="43"/>
      <c r="C23" s="44"/>
      <c r="D23" s="48">
        <f>D22*1.36</f>
        <v>10.744000000000002</v>
      </c>
      <c r="E23" s="39" t="s">
        <v>14</v>
      </c>
      <c r="F23" s="20"/>
      <c r="G23" s="20"/>
      <c r="H23" s="40"/>
      <c r="I23" s="41" t="s">
        <v>69</v>
      </c>
      <c r="J23" s="42">
        <v>50</v>
      </c>
      <c r="K23" s="36"/>
      <c r="L23" s="51"/>
      <c r="AD23" s="13" t="b">
        <v>0</v>
      </c>
    </row>
    <row r="24" spans="1:30" ht="16.5" customHeight="1">
      <c r="A24" s="19"/>
      <c r="B24" s="166" t="s">
        <v>86</v>
      </c>
      <c r="C24" s="167"/>
      <c r="D24" s="48">
        <f>D23/0.75</f>
        <v>14.325333333333335</v>
      </c>
      <c r="E24" s="39" t="s">
        <v>14</v>
      </c>
      <c r="F24" s="20"/>
      <c r="G24" s="20"/>
      <c r="H24" s="40"/>
      <c r="I24" s="41" t="s">
        <v>70</v>
      </c>
      <c r="J24" s="42">
        <v>75</v>
      </c>
      <c r="K24" s="36"/>
      <c r="M24" s="50"/>
      <c r="AD24" s="13" t="b">
        <v>1</v>
      </c>
    </row>
    <row r="25" spans="1:30" ht="16.5" customHeight="1">
      <c r="A25" s="19"/>
      <c r="B25" s="43"/>
      <c r="C25" s="44"/>
      <c r="D25" s="48"/>
      <c r="E25" s="39"/>
      <c r="F25" s="20"/>
      <c r="G25" s="20"/>
      <c r="H25" s="25"/>
      <c r="I25" s="20"/>
      <c r="J25" s="20"/>
      <c r="K25" s="26"/>
      <c r="L25" s="51"/>
      <c r="M25" s="175" t="s">
        <v>56</v>
      </c>
      <c r="N25" s="175"/>
      <c r="O25" s="50"/>
      <c r="P25" s="50"/>
      <c r="Q25" s="52"/>
      <c r="R25" s="52"/>
      <c r="S25" s="52"/>
      <c r="AD25" s="13" t="b">
        <v>0</v>
      </c>
    </row>
    <row r="26" spans="1:19" ht="16.5" customHeight="1">
      <c r="A26" s="19"/>
      <c r="B26" s="166" t="s">
        <v>76</v>
      </c>
      <c r="C26" s="167"/>
      <c r="D26" s="53">
        <f>10/(D20*D12)</f>
        <v>0.0625</v>
      </c>
      <c r="E26" s="39" t="s">
        <v>10</v>
      </c>
      <c r="F26" s="20"/>
      <c r="G26" s="20"/>
      <c r="H26" s="25"/>
      <c r="I26" s="169" t="s">
        <v>17</v>
      </c>
      <c r="J26" s="170"/>
      <c r="K26" s="36"/>
      <c r="L26" s="51"/>
      <c r="N26" s="12" t="s">
        <v>53</v>
      </c>
      <c r="O26" s="50"/>
      <c r="P26" s="50"/>
      <c r="Q26" s="52"/>
      <c r="R26" s="52"/>
      <c r="S26" s="52"/>
    </row>
    <row r="27" spans="1:30" ht="16.5" customHeight="1">
      <c r="A27" s="19"/>
      <c r="B27" s="166" t="s">
        <v>11</v>
      </c>
      <c r="C27" s="167"/>
      <c r="D27" s="45">
        <f>IF(AD20=TRUE,J17,IF(AD21=TRUE,J18,IF(AD22=TRUE,J19)))</f>
        <v>0.5</v>
      </c>
      <c r="E27" s="46"/>
      <c r="F27" s="20"/>
      <c r="G27" s="20"/>
      <c r="H27" s="40"/>
      <c r="I27" s="54" t="s">
        <v>67</v>
      </c>
      <c r="J27" s="55">
        <v>90</v>
      </c>
      <c r="K27" s="36"/>
      <c r="L27" s="51"/>
      <c r="M27" s="12" t="s">
        <v>54</v>
      </c>
      <c r="N27" s="50" t="s">
        <v>79</v>
      </c>
      <c r="O27" s="50"/>
      <c r="Q27" s="52"/>
      <c r="R27" s="52"/>
      <c r="S27" s="52"/>
      <c r="AD27" s="13" t="b">
        <v>0</v>
      </c>
    </row>
    <row r="28" spans="1:30" ht="16.5" customHeight="1">
      <c r="A28" s="19"/>
      <c r="B28" s="176" t="s">
        <v>77</v>
      </c>
      <c r="C28" s="177"/>
      <c r="D28" s="56">
        <f>D26/D27</f>
        <v>0.125</v>
      </c>
      <c r="E28" s="57" t="s">
        <v>10</v>
      </c>
      <c r="F28" s="20"/>
      <c r="G28" s="20"/>
      <c r="H28" s="40"/>
      <c r="I28" s="41" t="s">
        <v>18</v>
      </c>
      <c r="J28" s="42">
        <v>120</v>
      </c>
      <c r="K28" s="36"/>
      <c r="L28" s="51"/>
      <c r="M28" s="12" t="s">
        <v>55</v>
      </c>
      <c r="N28" s="50" t="s">
        <v>82</v>
      </c>
      <c r="O28" s="50"/>
      <c r="P28" s="50"/>
      <c r="Q28" s="52"/>
      <c r="R28" s="52"/>
      <c r="S28" s="52"/>
      <c r="AD28" s="13" t="b">
        <v>1</v>
      </c>
    </row>
    <row r="29" spans="1:30" ht="16.5" customHeight="1">
      <c r="A29" s="19"/>
      <c r="B29" s="58"/>
      <c r="C29" s="59"/>
      <c r="D29" s="60">
        <f>1/D28</f>
        <v>8</v>
      </c>
      <c r="E29" s="57" t="s">
        <v>12</v>
      </c>
      <c r="F29" s="20"/>
      <c r="G29" s="20"/>
      <c r="H29" s="40"/>
      <c r="I29" s="41" t="s">
        <v>19</v>
      </c>
      <c r="J29" s="42">
        <v>150</v>
      </c>
      <c r="K29" s="36"/>
      <c r="L29" s="51"/>
      <c r="M29" s="50"/>
      <c r="N29" s="52"/>
      <c r="O29" s="52"/>
      <c r="P29" s="52"/>
      <c r="AC29" s="11"/>
      <c r="AD29" s="13" t="b">
        <v>0</v>
      </c>
    </row>
    <row r="30" spans="1:30" ht="16.5" customHeight="1">
      <c r="A30" s="19"/>
      <c r="B30" s="58"/>
      <c r="C30" s="61"/>
      <c r="D30" s="45"/>
      <c r="E30" s="46"/>
      <c r="F30" s="20"/>
      <c r="G30" s="20"/>
      <c r="H30" s="40"/>
      <c r="I30" s="41" t="s">
        <v>20</v>
      </c>
      <c r="J30" s="42">
        <v>180</v>
      </c>
      <c r="K30" s="26"/>
      <c r="L30" s="51"/>
      <c r="U30" s="62"/>
      <c r="AC30" s="11"/>
      <c r="AD30" s="13" t="b">
        <v>0</v>
      </c>
    </row>
    <row r="31" spans="1:30" ht="16.5" customHeight="1">
      <c r="A31" s="19"/>
      <c r="B31" s="166" t="s">
        <v>59</v>
      </c>
      <c r="C31" s="167"/>
      <c r="D31" s="45">
        <f>IF(AD23=TRUE,J22,IF(AD24=TRUE,J23,IF(AD25=TRUE,J24)))</f>
        <v>50</v>
      </c>
      <c r="E31" s="39" t="s">
        <v>15</v>
      </c>
      <c r="F31" s="20"/>
      <c r="G31" s="20"/>
      <c r="H31" s="25"/>
      <c r="I31" s="20"/>
      <c r="J31" s="20"/>
      <c r="K31" s="36"/>
      <c r="L31" s="51"/>
      <c r="M31" s="181" t="s">
        <v>96</v>
      </c>
      <c r="N31" s="181"/>
      <c r="O31" s="181"/>
      <c r="P31" s="63"/>
      <c r="Q31" s="63"/>
      <c r="R31" s="63"/>
      <c r="T31" s="64"/>
      <c r="U31" s="65"/>
      <c r="AC31" s="66"/>
      <c r="AD31" s="67" t="b">
        <v>1</v>
      </c>
    </row>
    <row r="32" spans="1:30" ht="16.5" customHeight="1">
      <c r="A32" s="19"/>
      <c r="B32" s="166" t="s">
        <v>16</v>
      </c>
      <c r="C32" s="167"/>
      <c r="D32" s="48">
        <f>D24*100/D31</f>
        <v>28.65066666666667</v>
      </c>
      <c r="E32" s="39" t="s">
        <v>14</v>
      </c>
      <c r="F32" s="20"/>
      <c r="G32" s="20"/>
      <c r="H32" s="25"/>
      <c r="I32" s="169" t="s">
        <v>22</v>
      </c>
      <c r="J32" s="170"/>
      <c r="K32" s="36"/>
      <c r="L32" s="51"/>
      <c r="M32" s="182" t="s">
        <v>88</v>
      </c>
      <c r="N32" s="68">
        <f>D35</f>
        <v>120</v>
      </c>
      <c r="O32" s="63" t="s">
        <v>14</v>
      </c>
      <c r="P32" s="63"/>
      <c r="Q32" s="63"/>
      <c r="R32" s="63"/>
      <c r="T32" s="62"/>
      <c r="U32" s="50"/>
      <c r="V32" s="69"/>
      <c r="AC32" s="66"/>
      <c r="AD32" s="67"/>
    </row>
    <row r="33" spans="1:29" ht="16.5" customHeight="1">
      <c r="A33" s="19"/>
      <c r="B33" s="43"/>
      <c r="C33" s="44"/>
      <c r="D33" s="45"/>
      <c r="E33" s="46"/>
      <c r="F33" s="20"/>
      <c r="G33" s="20"/>
      <c r="H33" s="25"/>
      <c r="I33" s="41" t="s">
        <v>24</v>
      </c>
      <c r="J33" s="55" t="s">
        <v>78</v>
      </c>
      <c r="K33" s="36"/>
      <c r="M33" s="182"/>
      <c r="N33" s="62">
        <f>N32/1.36</f>
        <v>88.23529411764706</v>
      </c>
      <c r="O33" s="63" t="s">
        <v>43</v>
      </c>
      <c r="P33" s="70"/>
      <c r="Q33" s="183" t="s">
        <v>97</v>
      </c>
      <c r="R33" s="183"/>
      <c r="T33" s="65"/>
      <c r="U33" s="65"/>
      <c r="V33" s="71"/>
      <c r="AC33" s="66"/>
    </row>
    <row r="34" spans="1:29" ht="16.5" customHeight="1">
      <c r="A34" s="19"/>
      <c r="B34" s="166" t="s">
        <v>87</v>
      </c>
      <c r="C34" s="167"/>
      <c r="D34" s="45" t="str">
        <f>IF(AD27=TRUE,"Pequeño",IF(AD28=TRUE,"Mediano",IF(AD29=TRUE,"Grande",IF(AD30=TRUE,"Muy Grande",))))</f>
        <v>Mediano</v>
      </c>
      <c r="E34" s="39"/>
      <c r="F34" s="20"/>
      <c r="G34" s="20"/>
      <c r="H34" s="20"/>
      <c r="I34" s="41" t="s">
        <v>3</v>
      </c>
      <c r="J34" s="72">
        <v>0.1</v>
      </c>
      <c r="K34" s="36"/>
      <c r="L34" s="51"/>
      <c r="M34" s="178" t="s">
        <v>98</v>
      </c>
      <c r="N34" s="68">
        <f>+I62</f>
        <v>560</v>
      </c>
      <c r="O34" s="12" t="s">
        <v>46</v>
      </c>
      <c r="P34" s="63"/>
      <c r="Q34" s="183"/>
      <c r="R34" s="183"/>
      <c r="T34" s="50"/>
      <c r="U34" s="65"/>
      <c r="V34" s="73"/>
      <c r="AC34" s="66"/>
    </row>
    <row r="35" spans="1:28" ht="16.5" customHeight="1">
      <c r="A35" s="19"/>
      <c r="B35" s="179" t="s">
        <v>88</v>
      </c>
      <c r="C35" s="180"/>
      <c r="D35" s="74">
        <f>IF(AD27=TRUE,J27,IF(AD28=TRUE,J28,IF(AD29=TRUE,J29,IF(AD30=TRUE,J30,""))))</f>
        <v>120</v>
      </c>
      <c r="E35" s="75" t="s">
        <v>14</v>
      </c>
      <c r="F35" s="20"/>
      <c r="G35" s="20"/>
      <c r="H35" s="20"/>
      <c r="I35" s="41" t="s">
        <v>4</v>
      </c>
      <c r="J35" s="72">
        <v>0.15</v>
      </c>
      <c r="K35" s="26"/>
      <c r="L35" s="51"/>
      <c r="M35" s="178"/>
      <c r="N35" s="76">
        <f>N33*N34</f>
        <v>49411.76470588235</v>
      </c>
      <c r="O35" s="12" t="s">
        <v>28</v>
      </c>
      <c r="P35" s="63"/>
      <c r="Q35" s="62" t="s">
        <v>26</v>
      </c>
      <c r="R35" s="77" t="s">
        <v>99</v>
      </c>
      <c r="T35" s="65"/>
      <c r="U35" s="65"/>
      <c r="V35" s="51"/>
      <c r="W35" s="66"/>
      <c r="X35" s="66"/>
      <c r="Y35" s="66"/>
      <c r="Z35" s="66"/>
      <c r="AA35" s="66"/>
      <c r="AB35" s="66"/>
    </row>
    <row r="36" spans="1:28" ht="16.5" customHeight="1">
      <c r="A36" s="19"/>
      <c r="B36" s="20"/>
      <c r="C36" s="20"/>
      <c r="D36" s="78"/>
      <c r="E36" s="23"/>
      <c r="F36" s="20"/>
      <c r="G36" s="20"/>
      <c r="H36" s="20"/>
      <c r="I36" s="41" t="s">
        <v>6</v>
      </c>
      <c r="J36" s="72">
        <v>0.207</v>
      </c>
      <c r="K36" s="36"/>
      <c r="L36" s="51"/>
      <c r="M36" s="178" t="s">
        <v>100</v>
      </c>
      <c r="N36" s="79">
        <v>12000</v>
      </c>
      <c r="O36" s="12" t="s">
        <v>44</v>
      </c>
      <c r="P36" s="63"/>
      <c r="Q36" s="76">
        <v>500</v>
      </c>
      <c r="R36" s="62">
        <f>$N$35/$N$36+$N$35/($N$37*Q36)+($N$35*$N$38*0.6)/(Q36*100)+($N$35*(($N$40+$N$39)/(Q36*100)))+$N$33*$N$42*$N$41</f>
        <v>14.967058823529412</v>
      </c>
      <c r="T36" s="65"/>
      <c r="U36" s="65"/>
      <c r="V36" s="73"/>
      <c r="W36" s="66"/>
      <c r="X36" s="66"/>
      <c r="Y36" s="66"/>
      <c r="Z36" s="66"/>
      <c r="AA36" s="66"/>
      <c r="AB36" s="66"/>
    </row>
    <row r="37" spans="1:28" ht="16.5" customHeight="1">
      <c r="A37" s="19"/>
      <c r="B37" s="173" t="s">
        <v>71</v>
      </c>
      <c r="C37" s="174"/>
      <c r="D37" s="80"/>
      <c r="E37" s="81"/>
      <c r="F37" s="20"/>
      <c r="G37" s="20"/>
      <c r="H37" s="20"/>
      <c r="I37" s="20"/>
      <c r="J37" s="15"/>
      <c r="K37" s="36"/>
      <c r="L37" s="51"/>
      <c r="M37" s="178"/>
      <c r="N37" s="50">
        <v>20</v>
      </c>
      <c r="O37" s="12" t="s">
        <v>33</v>
      </c>
      <c r="P37" s="63"/>
      <c r="Q37" s="76">
        <v>1000</v>
      </c>
      <c r="R37" s="62">
        <f>$N$35/$N$36+$N$35/($N$37*Q37)+($N$35*$N$38*0.6)/(Q37*100)+($N$35*(($N$40+$N$39)/(Q37*100)))+$N$33*$N$42*$N$41</f>
        <v>10.865882352941176</v>
      </c>
      <c r="T37" s="65"/>
      <c r="V37" s="73"/>
      <c r="W37" s="66"/>
      <c r="X37" s="66"/>
      <c r="Y37" s="66"/>
      <c r="Z37" s="66"/>
      <c r="AA37" s="66"/>
      <c r="AB37" s="66"/>
    </row>
    <row r="38" spans="1:28" ht="16.5" customHeight="1">
      <c r="A38" s="19"/>
      <c r="B38" s="166" t="s">
        <v>21</v>
      </c>
      <c r="C38" s="167"/>
      <c r="D38" s="53">
        <f>IF(D31=J22,J34*D35/1.36,IF(D31=J23,J35*D35/1.36,IF(D31=J24,J36*D35/1.36)))</f>
        <v>13.235294117647058</v>
      </c>
      <c r="E38" s="39" t="s">
        <v>50</v>
      </c>
      <c r="F38" s="20"/>
      <c r="G38" s="20"/>
      <c r="H38" s="20"/>
      <c r="I38" s="20"/>
      <c r="J38" s="20"/>
      <c r="K38" s="36"/>
      <c r="M38" s="27" t="s">
        <v>101</v>
      </c>
      <c r="N38" s="82">
        <f>+D53</f>
        <v>5</v>
      </c>
      <c r="O38" s="12" t="s">
        <v>15</v>
      </c>
      <c r="P38" s="63"/>
      <c r="Q38" s="63"/>
      <c r="R38" s="63"/>
      <c r="T38" s="65"/>
      <c r="V38" s="73"/>
      <c r="W38" s="66"/>
      <c r="X38" s="66"/>
      <c r="Y38" s="66"/>
      <c r="Z38" s="66"/>
      <c r="AA38" s="66"/>
      <c r="AB38" s="66"/>
    </row>
    <row r="39" spans="1:29" ht="16.5" customHeight="1">
      <c r="A39" s="19"/>
      <c r="B39" s="43"/>
      <c r="C39" s="44"/>
      <c r="D39" s="53">
        <f>D38*D28</f>
        <v>1.6544117647058822</v>
      </c>
      <c r="E39" s="39" t="s">
        <v>74</v>
      </c>
      <c r="F39" s="20"/>
      <c r="G39" s="20"/>
      <c r="H39" s="20"/>
      <c r="I39" s="20"/>
      <c r="J39" s="20"/>
      <c r="K39" s="36"/>
      <c r="M39" s="27" t="s">
        <v>47</v>
      </c>
      <c r="N39" s="82">
        <v>0.2</v>
      </c>
      <c r="O39" s="12" t="s">
        <v>15</v>
      </c>
      <c r="P39" s="63"/>
      <c r="Q39" s="63"/>
      <c r="R39" s="63"/>
      <c r="V39" s="73"/>
      <c r="AC39" s="83"/>
    </row>
    <row r="40" spans="1:18" ht="16.5" customHeight="1">
      <c r="A40" s="19"/>
      <c r="B40" s="166" t="s">
        <v>23</v>
      </c>
      <c r="C40" s="167"/>
      <c r="D40" s="84">
        <f>D38*0.1/100</f>
        <v>0.013235294117647059</v>
      </c>
      <c r="E40" s="39" t="s">
        <v>50</v>
      </c>
      <c r="F40" s="20"/>
      <c r="G40" s="20"/>
      <c r="H40" s="20"/>
      <c r="I40" s="20"/>
      <c r="J40" s="20"/>
      <c r="K40" s="36"/>
      <c r="L40" s="51"/>
      <c r="M40" s="27" t="s">
        <v>48</v>
      </c>
      <c r="N40" s="82">
        <v>0.1</v>
      </c>
      <c r="O40" s="12" t="s">
        <v>15</v>
      </c>
      <c r="P40" s="63"/>
      <c r="Q40" s="63"/>
      <c r="R40" s="63"/>
    </row>
    <row r="41" spans="1:18" ht="16.5" customHeight="1">
      <c r="A41" s="19"/>
      <c r="B41" s="58"/>
      <c r="C41" s="61"/>
      <c r="D41" s="84">
        <f>D39*0.1/100</f>
        <v>0.0016544117647058823</v>
      </c>
      <c r="E41" s="39" t="s">
        <v>74</v>
      </c>
      <c r="F41" s="20"/>
      <c r="G41" s="20"/>
      <c r="H41" s="20"/>
      <c r="I41" s="20"/>
      <c r="J41" s="20"/>
      <c r="K41" s="26"/>
      <c r="L41" s="51"/>
      <c r="M41" s="85" t="s">
        <v>102</v>
      </c>
      <c r="N41" s="82">
        <v>0.2</v>
      </c>
      <c r="O41" s="86" t="s">
        <v>45</v>
      </c>
      <c r="P41" s="63"/>
      <c r="Q41" s="63"/>
      <c r="R41" s="63"/>
    </row>
    <row r="42" spans="1:18" ht="16.5" customHeight="1" thickBot="1">
      <c r="A42" s="19"/>
      <c r="B42" s="166" t="s">
        <v>73</v>
      </c>
      <c r="C42" s="167"/>
      <c r="D42" s="87">
        <v>1</v>
      </c>
      <c r="E42" s="88" t="s">
        <v>45</v>
      </c>
      <c r="F42" s="20"/>
      <c r="G42" s="20"/>
      <c r="H42" s="20"/>
      <c r="I42" s="20"/>
      <c r="J42" s="20"/>
      <c r="K42" s="36"/>
      <c r="L42" s="51"/>
      <c r="M42" s="85" t="s">
        <v>103</v>
      </c>
      <c r="N42" s="89">
        <v>0.15</v>
      </c>
      <c r="O42" s="90" t="s">
        <v>49</v>
      </c>
      <c r="P42" s="63"/>
      <c r="Q42" s="63"/>
      <c r="R42" s="63"/>
    </row>
    <row r="43" spans="1:28" ht="16.5" customHeight="1" thickTop="1">
      <c r="A43" s="19"/>
      <c r="B43" s="91" t="s">
        <v>75</v>
      </c>
      <c r="C43" s="92"/>
      <c r="D43" s="93">
        <f>D42*D38</f>
        <v>13.235294117647058</v>
      </c>
      <c r="E43" s="57" t="s">
        <v>31</v>
      </c>
      <c r="F43" s="20"/>
      <c r="G43" s="20"/>
      <c r="H43" s="20"/>
      <c r="I43" s="20"/>
      <c r="J43" s="20"/>
      <c r="K43" s="36"/>
      <c r="L43" s="51"/>
      <c r="M43" s="85"/>
      <c r="N43" s="89"/>
      <c r="O43" s="90"/>
      <c r="P43" s="63"/>
      <c r="Q43" s="63"/>
      <c r="R43" s="63"/>
      <c r="W43" s="69"/>
      <c r="X43" s="69"/>
      <c r="Y43" s="69"/>
      <c r="Z43" s="69"/>
      <c r="AA43" s="69"/>
      <c r="AB43" s="69"/>
    </row>
    <row r="44" spans="1:28" ht="16.5" customHeight="1">
      <c r="A44" s="19"/>
      <c r="B44" s="94"/>
      <c r="C44" s="95"/>
      <c r="D44" s="96">
        <f>D39*D42</f>
        <v>1.6544117647058822</v>
      </c>
      <c r="E44" s="97" t="s">
        <v>39</v>
      </c>
      <c r="F44" s="20"/>
      <c r="G44" s="20"/>
      <c r="H44" s="20"/>
      <c r="I44" s="20"/>
      <c r="J44" s="20"/>
      <c r="K44" s="98"/>
      <c r="W44" s="71"/>
      <c r="X44" s="71"/>
      <c r="Y44" s="71"/>
      <c r="Z44" s="71"/>
      <c r="AA44" s="71"/>
      <c r="AB44" s="71"/>
    </row>
    <row r="45" spans="1:28" ht="16.5" customHeight="1">
      <c r="A45" s="19"/>
      <c r="B45" s="20"/>
      <c r="C45" s="20"/>
      <c r="D45" s="78"/>
      <c r="E45" s="23"/>
      <c r="F45" s="20"/>
      <c r="G45" s="20"/>
      <c r="H45" s="20"/>
      <c r="I45" s="20"/>
      <c r="J45" s="20"/>
      <c r="K45" s="98"/>
      <c r="W45" s="73"/>
      <c r="X45" s="73"/>
      <c r="Y45" s="73"/>
      <c r="Z45" s="73"/>
      <c r="AA45" s="73"/>
      <c r="AB45" s="73"/>
    </row>
    <row r="46" spans="1:28" ht="16.5" customHeight="1">
      <c r="A46" s="19"/>
      <c r="B46" s="173" t="s">
        <v>72</v>
      </c>
      <c r="C46" s="174"/>
      <c r="D46" s="80"/>
      <c r="E46" s="99"/>
      <c r="F46" s="100"/>
      <c r="G46" s="101"/>
      <c r="H46" s="20"/>
      <c r="I46" s="186" t="s">
        <v>93</v>
      </c>
      <c r="J46" s="186"/>
      <c r="K46" s="98"/>
      <c r="W46" s="51"/>
      <c r="X46" s="51"/>
      <c r="Y46" s="51"/>
      <c r="Z46" s="51"/>
      <c r="AA46" s="51"/>
      <c r="AB46" s="51"/>
    </row>
    <row r="47" spans="1:30" ht="16.5" customHeight="1">
      <c r="A47" s="19"/>
      <c r="B47" s="171" t="s">
        <v>25</v>
      </c>
      <c r="C47" s="172"/>
      <c r="D47" s="102">
        <f>IF(AD47=TRUE,J47,J48)</f>
        <v>50</v>
      </c>
      <c r="E47" s="103" t="s">
        <v>26</v>
      </c>
      <c r="F47" s="104"/>
      <c r="G47" s="105"/>
      <c r="H47" s="106"/>
      <c r="I47" s="41" t="s">
        <v>3</v>
      </c>
      <c r="J47" s="107">
        <v>50</v>
      </c>
      <c r="K47" s="26"/>
      <c r="W47" s="73"/>
      <c r="X47" s="73"/>
      <c r="Y47" s="73"/>
      <c r="Z47" s="73"/>
      <c r="AA47" s="73"/>
      <c r="AB47" s="73"/>
      <c r="AD47" s="13" t="b">
        <v>1</v>
      </c>
    </row>
    <row r="48" spans="1:30" ht="16.5" customHeight="1">
      <c r="A48" s="19"/>
      <c r="B48" s="43"/>
      <c r="C48" s="44"/>
      <c r="D48" s="45"/>
      <c r="E48" s="108"/>
      <c r="F48" s="61"/>
      <c r="G48" s="109"/>
      <c r="H48" s="106"/>
      <c r="I48" s="41" t="s">
        <v>6</v>
      </c>
      <c r="J48" s="110">
        <v>100</v>
      </c>
      <c r="K48" s="36"/>
      <c r="W48" s="73"/>
      <c r="X48" s="73"/>
      <c r="Y48" s="73"/>
      <c r="Z48" s="73"/>
      <c r="AA48" s="73"/>
      <c r="AB48" s="73"/>
      <c r="AD48" s="13" t="b">
        <v>0</v>
      </c>
    </row>
    <row r="49" spans="1:28" ht="16.5" customHeight="1">
      <c r="A49" s="19"/>
      <c r="B49" s="166" t="s">
        <v>27</v>
      </c>
      <c r="C49" s="167"/>
      <c r="D49" s="38">
        <f>F49*D12</f>
        <v>7200</v>
      </c>
      <c r="E49" s="111" t="s">
        <v>28</v>
      </c>
      <c r="F49" s="112">
        <v>450</v>
      </c>
      <c r="G49" s="113" t="s">
        <v>95</v>
      </c>
      <c r="H49" s="20"/>
      <c r="I49" s="20"/>
      <c r="J49" s="15"/>
      <c r="K49" s="36"/>
      <c r="W49" s="73"/>
      <c r="X49" s="73"/>
      <c r="Y49" s="73"/>
      <c r="Z49" s="73"/>
      <c r="AA49" s="73"/>
      <c r="AB49" s="73"/>
    </row>
    <row r="50" spans="1:28" ht="16.5" customHeight="1">
      <c r="A50" s="19"/>
      <c r="B50" s="58"/>
      <c r="C50" s="61"/>
      <c r="D50" s="38"/>
      <c r="E50" s="108"/>
      <c r="F50" s="61"/>
      <c r="G50" s="109"/>
      <c r="H50" s="20"/>
      <c r="I50" s="20"/>
      <c r="J50" s="20"/>
      <c r="K50" s="114"/>
      <c r="W50" s="73"/>
      <c r="X50" s="73"/>
      <c r="Y50" s="73"/>
      <c r="Z50" s="73"/>
      <c r="AA50" s="73"/>
      <c r="AB50" s="73"/>
    </row>
    <row r="51" spans="1:11" ht="16.5" customHeight="1">
      <c r="A51" s="19"/>
      <c r="B51" s="166" t="s">
        <v>29</v>
      </c>
      <c r="C51" s="167"/>
      <c r="D51" s="115">
        <v>1000</v>
      </c>
      <c r="E51" s="111" t="s">
        <v>30</v>
      </c>
      <c r="F51" s="49">
        <f>+$D$49/$D51</f>
        <v>7.2</v>
      </c>
      <c r="G51" s="113" t="s">
        <v>31</v>
      </c>
      <c r="H51" s="20"/>
      <c r="I51" s="20"/>
      <c r="J51" s="20"/>
      <c r="K51" s="26"/>
    </row>
    <row r="52" spans="1:11" ht="16.5" customHeight="1">
      <c r="A52" s="19"/>
      <c r="B52" s="166" t="s">
        <v>32</v>
      </c>
      <c r="C52" s="167"/>
      <c r="D52" s="116">
        <v>20</v>
      </c>
      <c r="E52" s="111" t="s">
        <v>33</v>
      </c>
      <c r="F52" s="53">
        <f>+$D$49/($D52*D47)</f>
        <v>7.2</v>
      </c>
      <c r="G52" s="113" t="s">
        <v>31</v>
      </c>
      <c r="H52" s="20"/>
      <c r="I52" s="20"/>
      <c r="J52" s="20"/>
      <c r="K52" s="26"/>
    </row>
    <row r="53" spans="1:11" ht="16.5" customHeight="1">
      <c r="A53" s="19"/>
      <c r="B53" s="166" t="s">
        <v>34</v>
      </c>
      <c r="C53" s="167"/>
      <c r="D53" s="116">
        <v>5</v>
      </c>
      <c r="E53" s="111" t="s">
        <v>15</v>
      </c>
      <c r="F53" s="53">
        <f>+$D$49*0.006*$D53/D47</f>
        <v>4.32</v>
      </c>
      <c r="G53" s="113" t="s">
        <v>31</v>
      </c>
      <c r="H53" s="20"/>
      <c r="I53" s="184" t="str">
        <f>CONCATENATE("Vida útil para ",D47," h/año")</f>
        <v>Vida útil para 50 h/año</v>
      </c>
      <c r="J53" s="185"/>
      <c r="K53" s="117"/>
    </row>
    <row r="54" spans="1:11" ht="16.5" customHeight="1">
      <c r="A54" s="19"/>
      <c r="B54" s="166" t="s">
        <v>35</v>
      </c>
      <c r="C54" s="167"/>
      <c r="D54" s="116">
        <v>0.2</v>
      </c>
      <c r="E54" s="111" t="s">
        <v>36</v>
      </c>
      <c r="F54" s="53">
        <f>+$D$49*$D54/(100*D47)</f>
        <v>0.288</v>
      </c>
      <c r="G54" s="113" t="s">
        <v>31</v>
      </c>
      <c r="H54" s="20"/>
      <c r="I54" s="118" t="s">
        <v>30</v>
      </c>
      <c r="J54" s="119">
        <f>+$D$49/($F$51+$F$52)</f>
        <v>500</v>
      </c>
      <c r="K54" s="120"/>
    </row>
    <row r="55" spans="1:11" ht="16.5" customHeight="1">
      <c r="A55" s="19"/>
      <c r="B55" s="166" t="s">
        <v>37</v>
      </c>
      <c r="C55" s="167"/>
      <c r="D55" s="116">
        <v>0.1</v>
      </c>
      <c r="E55" s="111" t="s">
        <v>36</v>
      </c>
      <c r="F55" s="53">
        <f>+$D$49*$D55/(D47*100)</f>
        <v>0.144</v>
      </c>
      <c r="G55" s="113" t="s">
        <v>31</v>
      </c>
      <c r="H55" s="20"/>
      <c r="I55" s="118" t="s">
        <v>33</v>
      </c>
      <c r="J55" s="121">
        <f>+$D$49/($D$47*($F$51+$F$52))</f>
        <v>10</v>
      </c>
      <c r="K55" s="122"/>
    </row>
    <row r="56" spans="1:11" ht="16.5" customHeight="1" thickBot="1">
      <c r="A56" s="19"/>
      <c r="B56" s="187" t="s">
        <v>38</v>
      </c>
      <c r="C56" s="188"/>
      <c r="D56" s="123">
        <v>0.6</v>
      </c>
      <c r="E56" s="124" t="s">
        <v>39</v>
      </c>
      <c r="F56" s="125">
        <f>+D56/D28</f>
        <v>4.8</v>
      </c>
      <c r="G56" s="126" t="s">
        <v>31</v>
      </c>
      <c r="H56" s="20"/>
      <c r="I56" s="20"/>
      <c r="J56" s="15"/>
      <c r="K56" s="26"/>
    </row>
    <row r="57" spans="1:11" ht="16.5" customHeight="1" thickTop="1">
      <c r="A57" s="19"/>
      <c r="B57" s="127" t="s">
        <v>40</v>
      </c>
      <c r="D57" s="108"/>
      <c r="E57" s="108"/>
      <c r="F57" s="53">
        <f>SUM(F51:F56)</f>
        <v>23.951999999999998</v>
      </c>
      <c r="G57" s="113" t="s">
        <v>31</v>
      </c>
      <c r="H57" s="20"/>
      <c r="I57" s="20"/>
      <c r="J57" s="20"/>
      <c r="K57" s="26"/>
    </row>
    <row r="58" spans="1:11" ht="16.5" customHeight="1">
      <c r="A58" s="19"/>
      <c r="B58" s="128"/>
      <c r="C58" s="129"/>
      <c r="D58" s="130"/>
      <c r="E58" s="130"/>
      <c r="F58" s="131">
        <f>+F57*D28</f>
        <v>2.9939999999999998</v>
      </c>
      <c r="G58" s="132" t="s">
        <v>39</v>
      </c>
      <c r="H58" s="20"/>
      <c r="I58" s="20"/>
      <c r="J58" s="20"/>
      <c r="K58" s="26"/>
    </row>
    <row r="59" spans="1:11" ht="16.5" customHeight="1">
      <c r="A59" s="19"/>
      <c r="B59" s="133"/>
      <c r="C59" s="133"/>
      <c r="D59" s="134"/>
      <c r="E59" s="134"/>
      <c r="F59" s="133"/>
      <c r="G59" s="135"/>
      <c r="H59" s="20"/>
      <c r="I59" s="20"/>
      <c r="J59" s="20"/>
      <c r="K59" s="26"/>
    </row>
    <row r="60" spans="1:11" ht="16.5" customHeight="1">
      <c r="A60" s="19"/>
      <c r="B60" s="194" t="s">
        <v>42</v>
      </c>
      <c r="C60" s="194"/>
      <c r="D60" s="194"/>
      <c r="E60" s="195" t="s">
        <v>105</v>
      </c>
      <c r="F60" s="195"/>
      <c r="G60" s="136"/>
      <c r="H60" s="137"/>
      <c r="I60" s="137"/>
      <c r="J60" s="137"/>
      <c r="K60" s="26"/>
    </row>
    <row r="61" spans="1:11" ht="16.5" customHeight="1">
      <c r="A61" s="19"/>
      <c r="B61" s="189" t="s">
        <v>89</v>
      </c>
      <c r="C61" s="190"/>
      <c r="D61" s="138" t="s">
        <v>90</v>
      </c>
      <c r="E61" s="139" t="s">
        <v>31</v>
      </c>
      <c r="F61" s="139" t="s">
        <v>39</v>
      </c>
      <c r="G61" s="136"/>
      <c r="H61" s="137"/>
      <c r="I61" s="163" t="s">
        <v>111</v>
      </c>
      <c r="J61" s="163"/>
      <c r="K61" s="26"/>
    </row>
    <row r="62" spans="1:11" ht="16.5" customHeight="1">
      <c r="A62" s="19"/>
      <c r="B62" s="41"/>
      <c r="C62" s="41" t="s">
        <v>91</v>
      </c>
      <c r="D62" s="140">
        <f>R36</f>
        <v>14.967058823529412</v>
      </c>
      <c r="E62" s="121">
        <f>IF(AD68=TRUE,D62+D43,D62*0)</f>
        <v>28.20235294117647</v>
      </c>
      <c r="F62" s="141">
        <f>E62*$D$28</f>
        <v>3.525294117647059</v>
      </c>
      <c r="G62" s="142">
        <f>IF(AD68=TRUE,F62,F62*0)</f>
        <v>3.525294117647059</v>
      </c>
      <c r="H62" s="137"/>
      <c r="I62" s="143">
        <v>560</v>
      </c>
      <c r="J62" s="54" t="s">
        <v>112</v>
      </c>
      <c r="K62" s="26"/>
    </row>
    <row r="63" spans="1:11" ht="16.5" customHeight="1">
      <c r="A63" s="19"/>
      <c r="B63" s="41"/>
      <c r="C63" s="41" t="s">
        <v>92</v>
      </c>
      <c r="D63" s="140">
        <f>R37</f>
        <v>10.865882352941176</v>
      </c>
      <c r="E63" s="121">
        <f>IF(AD69=TRUE,D63+D43,D63*0)</f>
        <v>0</v>
      </c>
      <c r="F63" s="141">
        <f>E63*$D$28</f>
        <v>0</v>
      </c>
      <c r="G63" s="142">
        <f>IF(AD69=TRUE,F63,F63*0)</f>
        <v>0</v>
      </c>
      <c r="H63" s="137"/>
      <c r="I63" s="137"/>
      <c r="J63" s="137"/>
      <c r="K63" s="26"/>
    </row>
    <row r="64" spans="1:11" ht="16.5" customHeight="1">
      <c r="A64" s="19"/>
      <c r="B64" s="20"/>
      <c r="C64" s="144"/>
      <c r="D64" s="23"/>
      <c r="E64" s="21"/>
      <c r="F64" s="145"/>
      <c r="G64" s="136"/>
      <c r="H64" s="137"/>
      <c r="I64" s="137"/>
      <c r="J64" s="137"/>
      <c r="K64" s="26"/>
    </row>
    <row r="65" spans="1:11" ht="16.5" customHeight="1">
      <c r="A65" s="19"/>
      <c r="B65" s="196" t="s">
        <v>104</v>
      </c>
      <c r="C65" s="196"/>
      <c r="D65" s="196"/>
      <c r="E65" s="197" t="s">
        <v>40</v>
      </c>
      <c r="F65" s="197"/>
      <c r="G65" s="136"/>
      <c r="H65" s="137"/>
      <c r="I65" s="137"/>
      <c r="J65" s="137"/>
      <c r="K65" s="26"/>
    </row>
    <row r="66" spans="1:11" ht="16.5" customHeight="1">
      <c r="A66" s="19"/>
      <c r="B66" s="189" t="s">
        <v>89</v>
      </c>
      <c r="C66" s="190"/>
      <c r="D66" s="146" t="s">
        <v>41</v>
      </c>
      <c r="E66" s="191" t="s">
        <v>39</v>
      </c>
      <c r="F66" s="192"/>
      <c r="G66" s="147"/>
      <c r="H66" s="137"/>
      <c r="I66" s="137"/>
      <c r="J66" s="137"/>
      <c r="K66" s="26"/>
    </row>
    <row r="67" spans="1:11" ht="16.5" customHeight="1">
      <c r="A67" s="148"/>
      <c r="B67" s="41"/>
      <c r="C67" s="149" t="str">
        <f>IF(D47=J47,"Baja","Alta")</f>
        <v>Baja</v>
      </c>
      <c r="D67" s="150">
        <f>D47*D29</f>
        <v>400</v>
      </c>
      <c r="E67" s="193">
        <f>+F58+$G$62+$G$63</f>
        <v>6.519294117647059</v>
      </c>
      <c r="F67" s="193" t="e">
        <f>$D$24*($D$45/$D$47)+$D$45/($D$48*D67*$D$24)+(($D$45*0.006*$D$49)/(D67*$D$24))+$D$45*($D$50+$D$51)/(100*D67*$D$24)+($D$52/$D$24)+$D$70</f>
        <v>#DIV/0!</v>
      </c>
      <c r="G67" s="147"/>
      <c r="H67" s="137"/>
      <c r="I67" s="137"/>
      <c r="J67" s="137"/>
      <c r="K67" s="26"/>
    </row>
    <row r="68" spans="1:30" ht="16.5" customHeight="1">
      <c r="A68" s="19"/>
      <c r="B68" s="20"/>
      <c r="C68" s="151"/>
      <c r="D68" s="23"/>
      <c r="E68" s="23"/>
      <c r="F68" s="152"/>
      <c r="G68" s="153"/>
      <c r="H68" s="20"/>
      <c r="I68" s="20"/>
      <c r="J68" s="20"/>
      <c r="K68" s="31"/>
      <c r="AD68" s="13" t="b">
        <v>1</v>
      </c>
    </row>
    <row r="69" spans="1:30" ht="16.5" customHeight="1">
      <c r="A69" s="19"/>
      <c r="B69" s="20"/>
      <c r="C69" s="20"/>
      <c r="D69" s="23"/>
      <c r="E69" s="23"/>
      <c r="F69" s="152"/>
      <c r="G69" s="153"/>
      <c r="H69" s="20"/>
      <c r="I69" s="20"/>
      <c r="J69" s="20"/>
      <c r="K69" s="31"/>
      <c r="AD69" s="13" t="b">
        <v>0</v>
      </c>
    </row>
    <row r="70" spans="1:11" ht="16.5" customHeight="1">
      <c r="A70" s="154"/>
      <c r="B70" s="33"/>
      <c r="C70" s="33"/>
      <c r="D70" s="155"/>
      <c r="E70" s="155"/>
      <c r="F70" s="33"/>
      <c r="G70" s="156"/>
      <c r="H70" s="33"/>
      <c r="I70" s="33"/>
      <c r="J70" s="33"/>
      <c r="K70" s="157"/>
    </row>
    <row r="71" ht="16.5" customHeight="1">
      <c r="D71" s="158"/>
    </row>
    <row r="72" spans="3:7" ht="16.5" customHeight="1">
      <c r="C72" s="159"/>
      <c r="D72" s="158"/>
      <c r="E72" s="160"/>
      <c r="F72" s="161"/>
      <c r="G72" s="162"/>
    </row>
    <row r="73" spans="4:30" ht="16.5" customHeight="1">
      <c r="D73" s="158"/>
      <c r="E73" s="160"/>
      <c r="F73" s="161"/>
      <c r="G73" s="162"/>
      <c r="AD73" s="13" t="b">
        <v>1</v>
      </c>
    </row>
    <row r="74" ht="16.5" customHeight="1">
      <c r="AD74" s="13" t="b">
        <v>0</v>
      </c>
    </row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</sheetData>
  <sheetProtection/>
  <mergeCells count="55">
    <mergeCell ref="B66:C66"/>
    <mergeCell ref="E66:F66"/>
    <mergeCell ref="E67:F67"/>
    <mergeCell ref="B60:D60"/>
    <mergeCell ref="E60:F60"/>
    <mergeCell ref="B61:C61"/>
    <mergeCell ref="B65:D65"/>
    <mergeCell ref="E65:F65"/>
    <mergeCell ref="M31:O31"/>
    <mergeCell ref="M32:M33"/>
    <mergeCell ref="Q33:R34"/>
    <mergeCell ref="I53:J53"/>
    <mergeCell ref="I46:J46"/>
    <mergeCell ref="B56:C56"/>
    <mergeCell ref="M34:M35"/>
    <mergeCell ref="M36:M37"/>
    <mergeCell ref="B35:C35"/>
    <mergeCell ref="B51:C51"/>
    <mergeCell ref="B52:C52"/>
    <mergeCell ref="B47:C47"/>
    <mergeCell ref="B42:C42"/>
    <mergeCell ref="I26:J26"/>
    <mergeCell ref="I32:J32"/>
    <mergeCell ref="B28:C28"/>
    <mergeCell ref="B27:C27"/>
    <mergeCell ref="B26:C26"/>
    <mergeCell ref="B55:C55"/>
    <mergeCell ref="B32:C32"/>
    <mergeCell ref="B34:C34"/>
    <mergeCell ref="B13:C13"/>
    <mergeCell ref="B12:C12"/>
    <mergeCell ref="B14:C14"/>
    <mergeCell ref="B16:C16"/>
    <mergeCell ref="B46:C46"/>
    <mergeCell ref="M25:N25"/>
    <mergeCell ref="B38:C38"/>
    <mergeCell ref="B40:C40"/>
    <mergeCell ref="B37:C37"/>
    <mergeCell ref="B31:C31"/>
    <mergeCell ref="B54:C54"/>
    <mergeCell ref="B22:C22"/>
    <mergeCell ref="B24:C24"/>
    <mergeCell ref="B53:C53"/>
    <mergeCell ref="B49:C49"/>
    <mergeCell ref="B20:C20"/>
    <mergeCell ref="I61:J61"/>
    <mergeCell ref="M9:N9"/>
    <mergeCell ref="B17:C17"/>
    <mergeCell ref="B19:C19"/>
    <mergeCell ref="B21:C21"/>
    <mergeCell ref="M22:N22"/>
    <mergeCell ref="B18:C18"/>
    <mergeCell ref="I12:J12"/>
    <mergeCell ref="I16:J16"/>
    <mergeCell ref="I21:J21"/>
  </mergeCells>
  <conditionalFormatting sqref="J27:J30">
    <cfRule type="cellIs" priority="1" dxfId="0" operator="equal" stopIfTrue="1">
      <formula>$D$35</formula>
    </cfRule>
  </conditionalFormatting>
  <conditionalFormatting sqref="J22:J24">
    <cfRule type="cellIs" priority="2" dxfId="0" operator="equal" stopIfTrue="1">
      <formula>$D$31</formula>
    </cfRule>
  </conditionalFormatting>
  <conditionalFormatting sqref="J17:J19">
    <cfRule type="cellIs" priority="3" dxfId="0" operator="equal" stopIfTrue="1">
      <formula>$D$27</formula>
    </cfRule>
  </conditionalFormatting>
  <conditionalFormatting sqref="J13:J14">
    <cfRule type="cellIs" priority="4" dxfId="0" operator="equal" stopIfTrue="1">
      <formula>$D$12</formula>
    </cfRule>
  </conditionalFormatting>
  <conditionalFormatting sqref="C62">
    <cfRule type="expression" priority="5" dxfId="0" stopIfTrue="1">
      <formula>$G$62&gt;0</formula>
    </cfRule>
  </conditionalFormatting>
  <conditionalFormatting sqref="C63">
    <cfRule type="expression" priority="6" dxfId="0" stopIfTrue="1">
      <formula>$G$63&gt;0</formula>
    </cfRule>
  </conditionalFormatting>
  <conditionalFormatting sqref="J34">
    <cfRule type="expression" priority="7" dxfId="0" stopIfTrue="1">
      <formula>$D$31=25</formula>
    </cfRule>
  </conditionalFormatting>
  <conditionalFormatting sqref="J35">
    <cfRule type="expression" priority="8" dxfId="0" stopIfTrue="1">
      <formula>$D$31=50</formula>
    </cfRule>
  </conditionalFormatting>
  <conditionalFormatting sqref="J36">
    <cfRule type="expression" priority="9" dxfId="0" stopIfTrue="1">
      <formula>$D$31=75</formula>
    </cfRule>
  </conditionalFormatting>
  <conditionalFormatting sqref="J47:J48">
    <cfRule type="cellIs" priority="10" dxfId="0" operator="equal" stopIfTrue="1">
      <formula>$D$47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80.00390625" style="3" customWidth="1"/>
  </cols>
  <sheetData>
    <row r="1" s="1" customFormat="1" ht="92.25" customHeight="1">
      <c r="A1" s="4"/>
    </row>
    <row r="2" spans="1:15" ht="12.75">
      <c r="A2" s="5" t="s">
        <v>133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8.5" customHeight="1">
      <c r="A4" s="6" t="s">
        <v>106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6" t="s">
        <v>113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6" t="s">
        <v>107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6" t="s">
        <v>108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6" t="s">
        <v>130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8.5" customHeight="1">
      <c r="A9" s="6" t="s">
        <v>129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8.5" customHeight="1">
      <c r="A10" s="6" t="s">
        <v>114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8.5" customHeight="1">
      <c r="A11" s="6" t="s">
        <v>115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8.5" customHeight="1">
      <c r="A12" s="6" t="s">
        <v>116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6" t="s">
        <v>117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6" t="s">
        <v>118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8.5" customHeight="1">
      <c r="A15" s="6" t="s">
        <v>119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6" t="s">
        <v>120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8.5" customHeight="1">
      <c r="A17" s="6" t="s">
        <v>121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8.5" customHeight="1">
      <c r="A18" s="6" t="s">
        <v>122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6" t="s">
        <v>109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6" t="s">
        <v>131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8.5" customHeight="1">
      <c r="A22" s="6" t="s">
        <v>134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8.5" customHeight="1">
      <c r="A23" s="6" t="s">
        <v>123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6" t="s">
        <v>124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7" t="s">
        <v>135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6" t="s">
        <v>125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6" t="s">
        <v>126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6" t="s">
        <v>127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8.5" customHeight="1">
      <c r="A29" s="6" t="s">
        <v>128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8.5" customHeight="1">
      <c r="A30" s="6" t="s">
        <v>110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sheetProtection/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LM</cp:lastModifiedBy>
  <cp:lastPrinted>2008-09-10T13:24:59Z</cp:lastPrinted>
  <dcterms:created xsi:type="dcterms:W3CDTF">2006-04-10T08:55:06Z</dcterms:created>
  <dcterms:modified xsi:type="dcterms:W3CDTF">2014-06-27T08:13:20Z</dcterms:modified>
  <cp:category/>
  <cp:version/>
  <cp:contentType/>
  <cp:contentStatus/>
</cp:coreProperties>
</file>