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85" windowHeight="8970" tabRatio="852" activeTab="1"/>
  </bookViews>
  <sheets>
    <sheet name="Arada vert" sheetId="1" r:id="rId1"/>
    <sheet name="Metodología" sheetId="2" r:id="rId2"/>
  </sheets>
  <definedNames>
    <definedName name="_xlnm.Print_Area" localSheetId="0">'Arada vert'!$A$1:$K$69</definedName>
    <definedName name="_xlnm.Print_Area" localSheetId="1">'Metodología'!$A$1:$A$30</definedName>
    <definedName name="Z_039E3839_049A_4F05_9EAF_8C8ED138CC23_.wvu.Cols" localSheetId="0" hidden="1">'Arada vert'!$AD:$AI</definedName>
    <definedName name="Z_039E3839_049A_4F05_9EAF_8C8ED138CC23_.wvu.PrintArea" localSheetId="0" hidden="1">'Arada vert'!$B$8:$T$67</definedName>
  </definedNames>
  <calcPr fullCalcOnLoad="1"/>
</workbook>
</file>

<file path=xl/sharedStrings.xml><?xml version="1.0" encoding="utf-8"?>
<sst xmlns="http://schemas.openxmlformats.org/spreadsheetml/2006/main" count="202" uniqueCount="154">
  <si>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</si>
  <si>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</si>
  <si>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</si>
  <si>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</si>
  <si>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</si>
  <si>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</si>
  <si>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</si>
  <si>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</si>
  <si>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</si>
  <si>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</si>
  <si>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</si>
  <si>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</si>
  <si>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</si>
  <si>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</si>
  <si>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</si>
  <si>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Arado de vertedera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</si>
  <si>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</si>
  <si>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</si>
  <si>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</si>
  <si>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</si>
  <si>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</si>
  <si>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</si>
  <si>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</si>
  <si>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</si>
  <si>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Arada</t>
  </si>
  <si>
    <t>cm</t>
  </si>
  <si>
    <t>Profundidad de trabajo (cm)</t>
  </si>
  <si>
    <t>Tamaño cuerpos</t>
  </si>
  <si>
    <t>Tamaño reja</t>
  </si>
  <si>
    <t>Número cuerpos</t>
  </si>
  <si>
    <t>Numero cuerpos</t>
  </si>
  <si>
    <t>Anchura apero</t>
  </si>
  <si>
    <t>m</t>
  </si>
  <si>
    <t>"</t>
  </si>
  <si>
    <t>Peso apero</t>
  </si>
  <si>
    <t>kg</t>
  </si>
  <si>
    <t>ud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</si>
  <si>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</si>
  <si>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</si>
  <si>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</si>
  <si>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</si>
  <si>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</si>
  <si>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</si>
  <si>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</si>
  <si>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</si>
  <si>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</si>
  <si>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</si>
  <si>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</si>
  <si>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</si>
  <si>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</si>
  <si>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</si>
  <si>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</si>
  <si>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</si>
  <si>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</si>
  <si>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</si>
  <si>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</si>
  <si>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</si>
  <si>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</si>
  <si>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</si>
  <si>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</si>
  <si>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</si>
  <si>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</si>
  <si>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</si>
  <si>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</si>
  <si>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</si>
  <si>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</si>
  <si>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</si>
  <si>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</si>
  <si>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</si>
  <si>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</si>
  <si>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</si>
  <si>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</si>
  <si>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</si>
  <si>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</si>
  <si>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Nivel de carga del tractor</t>
  </si>
  <si>
    <t>Pequeño</t>
  </si>
  <si>
    <t>pot tractor CV</t>
  </si>
  <si>
    <t>nivel carga %</t>
  </si>
  <si>
    <t>pot utilizada</t>
  </si>
  <si>
    <t>vel km/h</t>
  </si>
  <si>
    <t>R suelo kPa</t>
  </si>
  <si>
    <t>Prf trabajo (cm)</t>
  </si>
  <si>
    <t>medium soil</t>
  </si>
  <si>
    <t>fine soil</t>
  </si>
  <si>
    <t>coarse soil</t>
  </si>
  <si>
    <t>ASAE moldboard plow</t>
  </si>
  <si>
    <t>Bajo</t>
  </si>
  <si>
    <t>Alto</t>
  </si>
  <si>
    <t>COSTES DE UTILIZACIÓN</t>
  </si>
  <si>
    <t>COSTES DE POSESIÓN</t>
  </si>
  <si>
    <t>Capacidad trabajo teórica</t>
  </si>
  <si>
    <t>Capacidad trabajo real</t>
  </si>
  <si>
    <t>Coste gasóleo</t>
  </si>
  <si>
    <t>Coste combustible</t>
  </si>
  <si>
    <t>L/ha</t>
  </si>
  <si>
    <t>F(daN)</t>
  </si>
  <si>
    <t>P(kW)</t>
  </si>
  <si>
    <t>anchura max (m)</t>
  </si>
  <si>
    <t>Factor (L/h-kW)</t>
  </si>
  <si>
    <t>v (km/h)</t>
  </si>
  <si>
    <t>Coeficiente de reducción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</si>
  <si>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</si>
  <si>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</si>
  <si>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</si>
  <si>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</si>
  <si>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</si>
  <si>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</si>
  <si>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</si>
  <si>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</si>
  <si>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</si>
  <si>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</si>
  <si>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kg/cpo</t>
  </si>
  <si>
    <t>€/cpo</t>
  </si>
  <si>
    <t>Mant.-Reparac</t>
  </si>
  <si>
    <t>RESULTADOS MAPA para 28 cm de profundidad media:  De 18 L/ha a 30 L/ha según textura y prof trabajo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</si>
  <si>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</si>
  <si>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</si>
  <si>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</si>
  <si>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</si>
  <si>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</si>
  <si>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</si>
  <si>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</si>
  <si>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</si>
  <si>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</si>
  <si>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Arada con arado de vertedera</t>
  </si>
  <si>
    <t>Los datos de partida de esta operación son los siguientes:</t>
  </si>
  <si>
    <t xml:space="preserve">     Para rejas de 16", alta (32 cm) y baja (40 cm)</t>
  </si>
  <si>
    <t>Las hipótesis establecidas para el cálculo de los costes son las siguientes:</t>
  </si>
  <si>
    <t>4</t>
  </si>
  <si>
    <t>Precio adquisición tractor</t>
  </si>
  <si>
    <t xml:space="preserve"> €/kW de potencia</t>
  </si>
  <si>
    <t>-          Tamaño de los cuerpos (rejas): 14" y 16"</t>
  </si>
  <si>
    <t>-          Número de cuerpos: De 3 a 6</t>
  </si>
  <si>
    <t xml:space="preserve">-          Profundidad de trabajo:  Para rejas de 14", alta (32 cm) y baja (25 cm) </t>
  </si>
  <si>
    <t>-          Peso del apero: Estimado en 250 kg/cuerpo.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</si>
  <si>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</si>
  <si>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</si>
  <si>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 trabajo del tractor: Bajo, medio o alto (se recomienda elegir alto para esta operación)</t>
  </si>
  <si>
    <t>-          Velocidad de trabajo: Es un valor tomado de las velocidades recomendadas de trabajo.</t>
  </si>
  <si>
    <t>-          Coeficiente de reducción: El valor tomado es de 1, puesto que se considera una labor muy pesada.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</si>
  <si>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</si>
  <si>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</si>
  <si>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Coste de combustible: 1,00 €/L</t>
  </si>
  <si>
    <t>-          Horas de trabajo anuales: Se han estimado dos rangos diferentes de utilización del apero al año, baja (100 h/año) y alta (200 h/año)</t>
  </si>
  <si>
    <t>-          Precio de adquisición: Estimado en 3.000 €/cuerpo.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</si>
  <si>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</si>
  <si>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</si>
  <si>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</si>
  <si>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</si>
  <si>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6,00 €/ha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</si>
  <si>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</si>
  <si>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</si>
  <si>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Interés: 5 %</t>
  </si>
  <si>
    <t>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</si>
</sst>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4" fillId="34" borderId="0" xfId="0" applyFont="1" applyFill="1" applyAlignment="1">
      <alignment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hidden="1" locked="0"/>
    </xf>
    <xf numFmtId="0" fontId="6" fillId="33" borderId="0" xfId="0" applyFon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4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wrapText="1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 hidden="1"/>
    </xf>
    <xf numFmtId="2" fontId="7" fillId="0" borderId="0" xfId="0" applyNumberFormat="1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 hidden="1" locked="0"/>
    </xf>
    <xf numFmtId="1" fontId="6" fillId="33" borderId="0" xfId="0" applyNumberFormat="1" applyFont="1" applyFill="1" applyBorder="1" applyAlignment="1" applyProtection="1">
      <alignment horizontal="center"/>
      <protection hidden="1" locked="0"/>
    </xf>
    <xf numFmtId="0" fontId="6" fillId="0" borderId="1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65" fontId="6" fillId="0" borderId="15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164" fontId="11" fillId="33" borderId="16" xfId="0" applyNumberFormat="1" applyFont="1" applyFill="1" applyBorder="1" applyAlignment="1" applyProtection="1">
      <alignment horizontal="center"/>
      <protection hidden="1"/>
    </xf>
    <xf numFmtId="0" fontId="16" fillId="33" borderId="17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 locked="0"/>
    </xf>
    <xf numFmtId="3" fontId="13" fillId="0" borderId="15" xfId="0" applyNumberFormat="1" applyFont="1" applyFill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3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34" borderId="14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hidden="1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/>
      <protection locked="0"/>
    </xf>
    <xf numFmtId="0" fontId="15" fillId="0" borderId="15" xfId="0" applyFont="1" applyBorder="1" applyAlignment="1">
      <alignment horizontal="right"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2" fontId="11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/>
      <protection hidden="1"/>
    </xf>
    <xf numFmtId="4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3" borderId="13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8" fillId="33" borderId="2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16" fillId="33" borderId="13" xfId="0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2" fontId="14" fillId="37" borderId="23" xfId="0" applyNumberFormat="1" applyFont="1" applyFill="1" applyBorder="1" applyAlignment="1" applyProtection="1">
      <alignment horizontal="center" vertical="center"/>
      <protection hidden="1"/>
    </xf>
    <xf numFmtId="2" fontId="14" fillId="37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8" fillId="38" borderId="18" xfId="0" applyFont="1" applyFill="1" applyBorder="1" applyAlignment="1" applyProtection="1">
      <alignment horizontal="center"/>
      <protection/>
    </xf>
    <xf numFmtId="0" fontId="8" fillId="38" borderId="19" xfId="0" applyFont="1" applyFill="1" applyBorder="1" applyAlignment="1" applyProtection="1">
      <alignment horizontal="center"/>
      <protection/>
    </xf>
    <xf numFmtId="0" fontId="14" fillId="37" borderId="15" xfId="0" applyFont="1" applyFill="1" applyBorder="1" applyAlignment="1" applyProtection="1">
      <alignment horizontal="center"/>
      <protection/>
    </xf>
    <xf numFmtId="0" fontId="14" fillId="37" borderId="23" xfId="0" applyFont="1" applyFill="1" applyBorder="1" applyAlignment="1" applyProtection="1">
      <alignment horizontal="center"/>
      <protection/>
    </xf>
    <xf numFmtId="0" fontId="14" fillId="37" borderId="19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33" borderId="2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emf" /><Relationship Id="rId3" Type="http://schemas.openxmlformats.org/officeDocument/2006/relationships/image" Target="../media/image25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Relationship Id="rId8" Type="http://schemas.openxmlformats.org/officeDocument/2006/relationships/image" Target="../media/image26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13.emf" /><Relationship Id="rId12" Type="http://schemas.openxmlformats.org/officeDocument/2006/relationships/image" Target="../media/image18.emf" /><Relationship Id="rId13" Type="http://schemas.openxmlformats.org/officeDocument/2006/relationships/image" Target="../media/image14.emf" /><Relationship Id="rId14" Type="http://schemas.openxmlformats.org/officeDocument/2006/relationships/image" Target="../media/image4.emf" /><Relationship Id="rId15" Type="http://schemas.openxmlformats.org/officeDocument/2006/relationships/image" Target="../media/image17.emf" /><Relationship Id="rId16" Type="http://schemas.openxmlformats.org/officeDocument/2006/relationships/image" Target="../media/image6.emf" /><Relationship Id="rId17" Type="http://schemas.openxmlformats.org/officeDocument/2006/relationships/image" Target="../media/image7.emf" /><Relationship Id="rId18" Type="http://schemas.openxmlformats.org/officeDocument/2006/relationships/image" Target="../media/image16.emf" /><Relationship Id="rId19" Type="http://schemas.openxmlformats.org/officeDocument/2006/relationships/image" Target="../media/image11.emf" /><Relationship Id="rId20" Type="http://schemas.openxmlformats.org/officeDocument/2006/relationships/image" Target="../media/image10.emf" /><Relationship Id="rId21" Type="http://schemas.openxmlformats.org/officeDocument/2006/relationships/image" Target="../media/image2.emf" /><Relationship Id="rId22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19050</xdr:colOff>
      <xdr:row>7</xdr:row>
      <xdr:rowOff>123825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276225</xdr:colOff>
      <xdr:row>12</xdr:row>
      <xdr:rowOff>200025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171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66675</xdr:rowOff>
    </xdr:from>
    <xdr:to>
      <xdr:col>7</xdr:col>
      <xdr:colOff>257175</xdr:colOff>
      <xdr:row>13</xdr:row>
      <xdr:rowOff>200025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2457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14</xdr:row>
      <xdr:rowOff>76200</xdr:rowOff>
    </xdr:from>
    <xdr:to>
      <xdr:col>7</xdr:col>
      <xdr:colOff>257175</xdr:colOff>
      <xdr:row>14</xdr:row>
      <xdr:rowOff>190500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26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17</xdr:row>
      <xdr:rowOff>19050</xdr:rowOff>
    </xdr:from>
    <xdr:to>
      <xdr:col>7</xdr:col>
      <xdr:colOff>247650</xdr:colOff>
      <xdr:row>17</xdr:row>
      <xdr:rowOff>142875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62475" y="324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18</xdr:row>
      <xdr:rowOff>57150</xdr:rowOff>
    </xdr:from>
    <xdr:to>
      <xdr:col>7</xdr:col>
      <xdr:colOff>247650</xdr:colOff>
      <xdr:row>19</xdr:row>
      <xdr:rowOff>9525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62475" y="3495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11</xdr:row>
      <xdr:rowOff>28575</xdr:rowOff>
    </xdr:from>
    <xdr:to>
      <xdr:col>3</xdr:col>
      <xdr:colOff>657225</xdr:colOff>
      <xdr:row>12</xdr:row>
      <xdr:rowOff>19050</xdr:rowOff>
    </xdr:to>
    <xdr:pic>
      <xdr:nvPicPr>
        <xdr:cNvPr id="7" name="Combo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18954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12</xdr:row>
      <xdr:rowOff>9525</xdr:rowOff>
    </xdr:from>
    <xdr:to>
      <xdr:col>3</xdr:col>
      <xdr:colOff>581025</xdr:colOff>
      <xdr:row>12</xdr:row>
      <xdr:rowOff>247650</xdr:rowOff>
    </xdr:to>
    <xdr:pic>
      <xdr:nvPicPr>
        <xdr:cNvPr id="8" name="Combo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21240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21</xdr:row>
      <xdr:rowOff>28575</xdr:rowOff>
    </xdr:from>
    <xdr:to>
      <xdr:col>7</xdr:col>
      <xdr:colOff>257175</xdr:colOff>
      <xdr:row>22</xdr:row>
      <xdr:rowOff>9525</xdr:rowOff>
    </xdr:to>
    <xdr:pic>
      <xdr:nvPicPr>
        <xdr:cNvPr id="9" name="Optio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22</xdr:row>
      <xdr:rowOff>28575</xdr:rowOff>
    </xdr:from>
    <xdr:to>
      <xdr:col>7</xdr:col>
      <xdr:colOff>257175</xdr:colOff>
      <xdr:row>23</xdr:row>
      <xdr:rowOff>9525</xdr:rowOff>
    </xdr:to>
    <xdr:pic>
      <xdr:nvPicPr>
        <xdr:cNvPr id="10" name="Option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4305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23</xdr:row>
      <xdr:rowOff>38100</xdr:rowOff>
    </xdr:from>
    <xdr:to>
      <xdr:col>7</xdr:col>
      <xdr:colOff>257175</xdr:colOff>
      <xdr:row>24</xdr:row>
      <xdr:rowOff>19050</xdr:rowOff>
    </xdr:to>
    <xdr:pic>
      <xdr:nvPicPr>
        <xdr:cNvPr id="11" name="Option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4524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26</xdr:row>
      <xdr:rowOff>28575</xdr:rowOff>
    </xdr:from>
    <xdr:to>
      <xdr:col>7</xdr:col>
      <xdr:colOff>257175</xdr:colOff>
      <xdr:row>27</xdr:row>
      <xdr:rowOff>9525</xdr:rowOff>
    </xdr:to>
    <xdr:pic>
      <xdr:nvPicPr>
        <xdr:cNvPr id="12" name="Option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62475" y="5143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28575</xdr:rowOff>
    </xdr:from>
    <xdr:to>
      <xdr:col>7</xdr:col>
      <xdr:colOff>257175</xdr:colOff>
      <xdr:row>28</xdr:row>
      <xdr:rowOff>9525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62475" y="5353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28</xdr:row>
      <xdr:rowOff>19050</xdr:rowOff>
    </xdr:from>
    <xdr:to>
      <xdr:col>7</xdr:col>
      <xdr:colOff>257175</xdr:colOff>
      <xdr:row>29</xdr:row>
      <xdr:rowOff>0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62475" y="5553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31</xdr:row>
      <xdr:rowOff>28575</xdr:rowOff>
    </xdr:from>
    <xdr:to>
      <xdr:col>7</xdr:col>
      <xdr:colOff>257175</xdr:colOff>
      <xdr:row>32</xdr:row>
      <xdr:rowOff>9525</xdr:rowOff>
    </xdr:to>
    <xdr:pic>
      <xdr:nvPicPr>
        <xdr:cNvPr id="15" name="OptionButton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62475" y="6191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32</xdr:row>
      <xdr:rowOff>28575</xdr:rowOff>
    </xdr:from>
    <xdr:to>
      <xdr:col>7</xdr:col>
      <xdr:colOff>257175</xdr:colOff>
      <xdr:row>33</xdr:row>
      <xdr:rowOff>9525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62475" y="640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33</xdr:row>
      <xdr:rowOff>19050</xdr:rowOff>
    </xdr:from>
    <xdr:to>
      <xdr:col>7</xdr:col>
      <xdr:colOff>257175</xdr:colOff>
      <xdr:row>34</xdr:row>
      <xdr:rowOff>0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62475" y="660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257175</xdr:colOff>
      <xdr:row>35</xdr:row>
      <xdr:rowOff>9525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62475" y="6819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9525</xdr:rowOff>
    </xdr:from>
    <xdr:to>
      <xdr:col>1</xdr:col>
      <xdr:colOff>257175</xdr:colOff>
      <xdr:row>62</xdr:row>
      <xdr:rowOff>9525</xdr:rowOff>
    </xdr:to>
    <xdr:pic>
      <xdr:nvPicPr>
        <xdr:cNvPr id="19" name="OptionButton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245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28575</xdr:rowOff>
    </xdr:from>
    <xdr:to>
      <xdr:col>1</xdr:col>
      <xdr:colOff>257175</xdr:colOff>
      <xdr:row>63</xdr:row>
      <xdr:rowOff>9525</xdr:rowOff>
    </xdr:to>
    <xdr:pic>
      <xdr:nvPicPr>
        <xdr:cNvPr id="20" name="OptionButton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26873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46</xdr:row>
      <xdr:rowOff>9525</xdr:rowOff>
    </xdr:from>
    <xdr:to>
      <xdr:col>7</xdr:col>
      <xdr:colOff>247650</xdr:colOff>
      <xdr:row>46</xdr:row>
      <xdr:rowOff>142875</xdr:rowOff>
    </xdr:to>
    <xdr:pic>
      <xdr:nvPicPr>
        <xdr:cNvPr id="21" name="OptionButton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52950" y="9315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47</xdr:row>
      <xdr:rowOff>28575</xdr:rowOff>
    </xdr:from>
    <xdr:to>
      <xdr:col>7</xdr:col>
      <xdr:colOff>247650</xdr:colOff>
      <xdr:row>48</xdr:row>
      <xdr:rowOff>0</xdr:rowOff>
    </xdr:to>
    <xdr:pic>
      <xdr:nvPicPr>
        <xdr:cNvPr id="22" name="OptionButton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52950" y="95440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5162550</xdr:colOff>
      <xdr:row>0</xdr:row>
      <xdr:rowOff>971550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6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AI77"/>
  <sheetViews>
    <sheetView showZeros="0" zoomScalePageLayoutView="0" workbookViewId="0" topLeftCell="A1">
      <selection activeCell="B10" sqref="B10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3.7109375" style="8" customWidth="1"/>
    <col min="4" max="4" width="13.00390625" style="9" customWidth="1"/>
    <col min="5" max="5" width="6.57421875" style="9" customWidth="1"/>
    <col min="6" max="6" width="7.00390625" style="8" customWidth="1"/>
    <col min="7" max="7" width="7.8515625" style="10" customWidth="1"/>
    <col min="8" max="8" width="4.140625" style="8" customWidth="1"/>
    <col min="9" max="9" width="10.7109375" style="8" customWidth="1"/>
    <col min="10" max="10" width="22.57421875" style="8" customWidth="1"/>
    <col min="11" max="11" width="5.7109375" style="8" customWidth="1"/>
    <col min="12" max="12" width="5.7109375" style="11" hidden="1" customWidth="1"/>
    <col min="13" max="13" width="15.7109375" style="12" hidden="1" customWidth="1"/>
    <col min="14" max="14" width="7.57421875" style="12" hidden="1" customWidth="1"/>
    <col min="15" max="15" width="8.140625" style="12" hidden="1" customWidth="1"/>
    <col min="16" max="16" width="10.421875" style="12" hidden="1" customWidth="1"/>
    <col min="17" max="17" width="7.140625" style="12" hidden="1" customWidth="1"/>
    <col min="18" max="18" width="10.421875" style="12" hidden="1" customWidth="1"/>
    <col min="19" max="19" width="9.57421875" style="12" hidden="1" customWidth="1"/>
    <col min="20" max="21" width="11.421875" style="12" hidden="1" customWidth="1"/>
    <col min="22" max="27" width="11.421875" style="8" customWidth="1"/>
    <col min="28" max="28" width="0" style="8" hidden="1" customWidth="1"/>
    <col min="29" max="29" width="11.421875" style="8" hidden="1" customWidth="1"/>
    <col min="30" max="30" width="21.28125" style="13" hidden="1" customWidth="1"/>
    <col min="31" max="31" width="11.421875" style="8" hidden="1" customWidth="1"/>
    <col min="32" max="32" width="11.421875" style="8" customWidth="1"/>
    <col min="33" max="33" width="11.421875" style="8" hidden="1" customWidth="1"/>
    <col min="34" max="34" width="11.28125" style="8" hidden="1" customWidth="1"/>
    <col min="35" max="35" width="11.421875" style="8" hidden="1" customWidth="1"/>
    <col min="36" max="36" width="0" style="8" hidden="1" customWidth="1"/>
    <col min="37" max="16384" width="11.421875" style="8" customWidth="1"/>
  </cols>
  <sheetData>
    <row r="1" ht="14.25"/>
    <row r="2" ht="14.25"/>
    <row r="3" ht="12" customHeight="1"/>
    <row r="4" ht="12" customHeight="1"/>
    <row r="5" ht="13.5" customHeight="1"/>
    <row r="6" ht="14.25"/>
    <row r="7" ht="10.5" customHeight="1"/>
    <row r="8" spans="1:11" ht="14.25">
      <c r="A8" s="14"/>
      <c r="B8" s="15"/>
      <c r="C8" s="16"/>
      <c r="D8" s="17"/>
      <c r="E8" s="17"/>
      <c r="F8" s="15"/>
      <c r="G8" s="15"/>
      <c r="H8" s="15"/>
      <c r="I8" s="15"/>
      <c r="J8" s="15"/>
      <c r="K8" s="18"/>
    </row>
    <row r="9" spans="1:14" ht="12.75" customHeight="1">
      <c r="A9" s="19"/>
      <c r="B9" s="20"/>
      <c r="C9" s="21" t="s">
        <v>13</v>
      </c>
      <c r="D9" s="22" t="s">
        <v>24</v>
      </c>
      <c r="E9" s="23"/>
      <c r="F9" s="24"/>
      <c r="G9" s="24"/>
      <c r="H9" s="25"/>
      <c r="I9" s="25"/>
      <c r="J9" s="25"/>
      <c r="K9" s="26"/>
      <c r="M9" s="222" t="s">
        <v>110</v>
      </c>
      <c r="N9" s="223"/>
    </row>
    <row r="10" spans="1:28" ht="15">
      <c r="A10" s="19"/>
      <c r="B10" s="20"/>
      <c r="C10" s="21" t="s">
        <v>14</v>
      </c>
      <c r="D10" s="22" t="s">
        <v>15</v>
      </c>
      <c r="E10" s="28"/>
      <c r="F10" s="20"/>
      <c r="G10" s="22"/>
      <c r="H10" s="25"/>
      <c r="I10" s="25"/>
      <c r="J10" s="25"/>
      <c r="K10" s="29"/>
      <c r="V10" s="30"/>
      <c r="W10" s="30"/>
      <c r="X10" s="30"/>
      <c r="Y10" s="30"/>
      <c r="Z10" s="30"/>
      <c r="AA10" s="30"/>
      <c r="AB10" s="30"/>
    </row>
    <row r="11" spans="1:28" ht="14.25">
      <c r="A11" s="19"/>
      <c r="B11" s="25"/>
      <c r="C11" s="25"/>
      <c r="D11" s="28"/>
      <c r="E11" s="28"/>
      <c r="F11" s="25"/>
      <c r="G11" s="25"/>
      <c r="H11" s="25"/>
      <c r="I11" s="25"/>
      <c r="J11" s="25"/>
      <c r="K11" s="29"/>
      <c r="V11" s="31"/>
      <c r="W11" s="31"/>
      <c r="X11" s="31"/>
      <c r="Y11" s="31"/>
      <c r="Z11" s="31"/>
      <c r="AA11" s="31"/>
      <c r="AB11" s="31"/>
    </row>
    <row r="12" spans="1:34" ht="19.5" customHeight="1">
      <c r="A12" s="19"/>
      <c r="B12" s="200" t="s">
        <v>27</v>
      </c>
      <c r="C12" s="201"/>
      <c r="D12" s="32"/>
      <c r="E12" s="33" t="s">
        <v>33</v>
      </c>
      <c r="F12" s="34"/>
      <c r="G12" s="35"/>
      <c r="H12" s="36"/>
      <c r="I12" s="37" t="s">
        <v>16</v>
      </c>
      <c r="J12" s="38" t="s">
        <v>38</v>
      </c>
      <c r="K12" s="39"/>
      <c r="V12" s="40"/>
      <c r="W12" s="40"/>
      <c r="X12" s="40"/>
      <c r="Y12" s="40"/>
      <c r="Z12" s="40"/>
      <c r="AA12" s="40"/>
      <c r="AB12" s="40"/>
      <c r="AC12" s="40"/>
      <c r="AE12" s="30"/>
      <c r="AH12" s="10" t="s">
        <v>28</v>
      </c>
    </row>
    <row r="13" spans="1:34" ht="21.75" customHeight="1">
      <c r="A13" s="19"/>
      <c r="B13" s="198" t="s">
        <v>29</v>
      </c>
      <c r="C13" s="199"/>
      <c r="D13" s="41"/>
      <c r="E13" s="42" t="s">
        <v>36</v>
      </c>
      <c r="F13" s="43"/>
      <c r="G13" s="44"/>
      <c r="H13" s="45"/>
      <c r="I13" s="37" t="s">
        <v>17</v>
      </c>
      <c r="J13" s="46">
        <v>40</v>
      </c>
      <c r="K13" s="39"/>
      <c r="T13" s="47"/>
      <c r="U13" s="47"/>
      <c r="V13" s="31"/>
      <c r="W13" s="31"/>
      <c r="X13" s="31"/>
      <c r="Y13" s="31"/>
      <c r="Z13" s="31"/>
      <c r="AA13" s="31"/>
      <c r="AB13" s="31"/>
      <c r="AC13" s="31"/>
      <c r="AD13" s="48" t="b">
        <v>0</v>
      </c>
      <c r="AG13" s="8">
        <v>14</v>
      </c>
      <c r="AH13" s="49" t="s">
        <v>153</v>
      </c>
    </row>
    <row r="14" spans="1:33" ht="16.5" customHeight="1">
      <c r="A14" s="19"/>
      <c r="B14" s="198" t="s">
        <v>23</v>
      </c>
      <c r="C14" s="199"/>
      <c r="D14" s="50" t="str">
        <f>IF(AD18=TRUE,#REF!,IF(AD19=TRUE,J18,IF(AD20=TRUE,J19)))</f>
        <v>25</v>
      </c>
      <c r="E14" s="42" t="s">
        <v>25</v>
      </c>
      <c r="F14" s="43"/>
      <c r="G14" s="44"/>
      <c r="H14" s="45"/>
      <c r="I14" s="37" t="s">
        <v>18</v>
      </c>
      <c r="J14" s="46">
        <v>60</v>
      </c>
      <c r="K14" s="39"/>
      <c r="T14" s="47"/>
      <c r="U14" s="57"/>
      <c r="V14" s="40"/>
      <c r="W14" s="40"/>
      <c r="X14" s="40"/>
      <c r="Y14" s="40"/>
      <c r="Z14" s="40"/>
      <c r="AA14" s="40"/>
      <c r="AB14" s="40"/>
      <c r="AC14" s="40"/>
      <c r="AD14" s="48" t="b">
        <v>1</v>
      </c>
      <c r="AG14" s="8">
        <v>16</v>
      </c>
    </row>
    <row r="15" spans="1:30" ht="16.5" customHeight="1">
      <c r="A15" s="19"/>
      <c r="B15" s="198" t="s">
        <v>31</v>
      </c>
      <c r="C15" s="199"/>
      <c r="D15" s="51">
        <f>AI17*AH13*2.54/100</f>
        <v>1.4224</v>
      </c>
      <c r="E15" s="42" t="s">
        <v>32</v>
      </c>
      <c r="F15" s="43"/>
      <c r="G15" s="44"/>
      <c r="H15" s="45"/>
      <c r="I15" s="37" t="s">
        <v>19</v>
      </c>
      <c r="J15" s="46">
        <v>80</v>
      </c>
      <c r="K15" s="39"/>
      <c r="T15" s="47"/>
      <c r="U15" s="57"/>
      <c r="V15" s="31"/>
      <c r="W15" s="31"/>
      <c r="X15" s="31"/>
      <c r="Y15" s="31"/>
      <c r="Z15" s="31"/>
      <c r="AA15" s="31"/>
      <c r="AB15" s="31"/>
      <c r="AC15" s="31"/>
      <c r="AD15" s="48" t="b">
        <v>0</v>
      </c>
    </row>
    <row r="16" spans="1:34" ht="16.5" customHeight="1">
      <c r="A16" s="19"/>
      <c r="B16" s="198" t="s">
        <v>34</v>
      </c>
      <c r="C16" s="199"/>
      <c r="D16" s="52">
        <f>$F$16*AI17</f>
        <v>1000</v>
      </c>
      <c r="E16" s="42" t="s">
        <v>35</v>
      </c>
      <c r="F16" s="53">
        <v>250</v>
      </c>
      <c r="G16" s="54" t="s">
        <v>111</v>
      </c>
      <c r="H16" s="36"/>
      <c r="I16" s="20"/>
      <c r="J16" s="20"/>
      <c r="K16" s="26"/>
      <c r="T16" s="47"/>
      <c r="U16" s="57"/>
      <c r="AH16" s="10" t="s">
        <v>30</v>
      </c>
    </row>
    <row r="17" spans="1:35" ht="16.5" customHeight="1">
      <c r="A17" s="19"/>
      <c r="B17" s="55"/>
      <c r="C17" s="56"/>
      <c r="D17" s="41"/>
      <c r="E17" s="41"/>
      <c r="F17" s="43"/>
      <c r="G17" s="44"/>
      <c r="H17" s="36"/>
      <c r="I17" s="195" t="s">
        <v>26</v>
      </c>
      <c r="J17" s="196"/>
      <c r="K17" s="39"/>
      <c r="T17" s="57"/>
      <c r="U17" s="57"/>
      <c r="V17" s="58"/>
      <c r="W17" s="59"/>
      <c r="X17" s="60"/>
      <c r="Y17" s="60"/>
      <c r="Z17" s="60"/>
      <c r="AA17" s="60"/>
      <c r="AH17" s="8">
        <v>3</v>
      </c>
      <c r="AI17" s="49" t="s">
        <v>128</v>
      </c>
    </row>
    <row r="18" spans="1:34" ht="16.5" customHeight="1">
      <c r="A18" s="19"/>
      <c r="B18" s="198" t="s">
        <v>37</v>
      </c>
      <c r="C18" s="199"/>
      <c r="D18" s="50">
        <f>IF(AD13=TRUE,J13,IF(AD14=TRUE,J14,IF(AD15=TRUE,J15)))</f>
        <v>60</v>
      </c>
      <c r="E18" s="42" t="s">
        <v>39</v>
      </c>
      <c r="F18" s="43"/>
      <c r="G18" s="44"/>
      <c r="H18" s="45"/>
      <c r="I18" s="37" t="s">
        <v>20</v>
      </c>
      <c r="J18" s="61" t="str">
        <f>IF(AH13="16","32",IF(AH13="14","25"))</f>
        <v>25</v>
      </c>
      <c r="K18" s="39"/>
      <c r="M18" s="197" t="s">
        <v>85</v>
      </c>
      <c r="N18" s="186" t="s">
        <v>84</v>
      </c>
      <c r="O18" s="47" t="s">
        <v>95</v>
      </c>
      <c r="P18" s="47" t="s">
        <v>99</v>
      </c>
      <c r="Q18" s="47" t="s">
        <v>96</v>
      </c>
      <c r="R18" s="47"/>
      <c r="S18" s="47"/>
      <c r="T18" s="47"/>
      <c r="U18" s="57"/>
      <c r="V18" s="30"/>
      <c r="W18" s="59"/>
      <c r="X18" s="30"/>
      <c r="Y18" s="40"/>
      <c r="Z18" s="62"/>
      <c r="AA18" s="62"/>
      <c r="AH18" s="8">
        <v>4</v>
      </c>
    </row>
    <row r="19" spans="1:34" ht="16.5" customHeight="1">
      <c r="A19" s="19"/>
      <c r="B19" s="204" t="s">
        <v>100</v>
      </c>
      <c r="C19" s="205"/>
      <c r="D19" s="50">
        <v>1</v>
      </c>
      <c r="E19" s="63"/>
      <c r="F19" s="64"/>
      <c r="G19" s="65"/>
      <c r="H19" s="45"/>
      <c r="I19" s="37" t="s">
        <v>22</v>
      </c>
      <c r="J19" s="61" t="str">
        <f>IF(AH13="16","40",IF(AH13="14","32"))</f>
        <v>32</v>
      </c>
      <c r="K19" s="39"/>
      <c r="M19" s="197"/>
      <c r="N19" s="186"/>
      <c r="O19" s="66">
        <f>(652+5.1*$D$21^2)*$D$15*$D$14*0.45/10</f>
        <v>1443.2203800000002</v>
      </c>
      <c r="P19" s="67">
        <f>D21</f>
        <v>7</v>
      </c>
      <c r="Q19" s="68">
        <f>O19*$D$21*10/3600</f>
        <v>28.062618500000003</v>
      </c>
      <c r="R19" s="57"/>
      <c r="S19" s="69"/>
      <c r="T19" s="70"/>
      <c r="U19" s="185"/>
      <c r="V19" s="71"/>
      <c r="W19" s="59"/>
      <c r="X19" s="30"/>
      <c r="Y19" s="30"/>
      <c r="Z19" s="30"/>
      <c r="AA19" s="30"/>
      <c r="AD19" s="13" t="b">
        <v>1</v>
      </c>
      <c r="AH19" s="8">
        <v>5</v>
      </c>
    </row>
    <row r="20" spans="1:34" ht="16.5" customHeight="1">
      <c r="A20" s="19"/>
      <c r="B20" s="204" t="s">
        <v>40</v>
      </c>
      <c r="C20" s="205"/>
      <c r="D20" s="52">
        <f>D18*D14*0.1*D15*10</f>
        <v>2133.6000000000004</v>
      </c>
      <c r="E20" s="63" t="s">
        <v>41</v>
      </c>
      <c r="F20" s="64"/>
      <c r="G20" s="65"/>
      <c r="H20" s="36"/>
      <c r="I20" s="20"/>
      <c r="J20" s="20"/>
      <c r="K20" s="39"/>
      <c r="L20" s="47"/>
      <c r="M20" s="197"/>
      <c r="N20" s="186" t="s">
        <v>82</v>
      </c>
      <c r="O20" s="66" t="s">
        <v>95</v>
      </c>
      <c r="P20" s="67" t="s">
        <v>99</v>
      </c>
      <c r="Q20" s="68" t="s">
        <v>96</v>
      </c>
      <c r="R20" s="57"/>
      <c r="S20" s="57"/>
      <c r="T20" s="57"/>
      <c r="V20" s="72"/>
      <c r="W20" s="30"/>
      <c r="X20" s="30"/>
      <c r="Y20" s="40"/>
      <c r="Z20" s="40"/>
      <c r="AA20" s="40"/>
      <c r="AD20" s="13" t="b">
        <v>0</v>
      </c>
      <c r="AH20" s="8">
        <v>6</v>
      </c>
    </row>
    <row r="21" spans="1:27" ht="16.5" customHeight="1">
      <c r="A21" s="19"/>
      <c r="B21" s="204" t="s">
        <v>42</v>
      </c>
      <c r="C21" s="205"/>
      <c r="D21" s="50">
        <v>7</v>
      </c>
      <c r="E21" s="63" t="s">
        <v>43</v>
      </c>
      <c r="F21" s="64"/>
      <c r="G21" s="65"/>
      <c r="H21" s="36"/>
      <c r="I21" s="195" t="s">
        <v>54</v>
      </c>
      <c r="J21" s="196"/>
      <c r="K21" s="39"/>
      <c r="L21" s="47"/>
      <c r="M21" s="197"/>
      <c r="N21" s="186"/>
      <c r="O21" s="66">
        <f>(652+5.1*$D$21^2)*$D$15*$D$14*0.7/10</f>
        <v>2245.0094799999997</v>
      </c>
      <c r="P21" s="67">
        <f>D21</f>
        <v>7</v>
      </c>
      <c r="Q21" s="68">
        <f>O21*$D$21*10/3600</f>
        <v>43.6529621111111</v>
      </c>
      <c r="R21" s="57"/>
      <c r="S21" s="57"/>
      <c r="T21" s="57"/>
      <c r="V21" s="72"/>
      <c r="W21" s="73"/>
      <c r="X21" s="30"/>
      <c r="Y21" s="40"/>
      <c r="Z21" s="40"/>
      <c r="AA21" s="40"/>
    </row>
    <row r="22" spans="1:30" ht="16.5" customHeight="1">
      <c r="A22" s="19"/>
      <c r="B22" s="204" t="s">
        <v>44</v>
      </c>
      <c r="C22" s="205"/>
      <c r="D22" s="74">
        <f>D20*10*D21/3600</f>
        <v>41.48666666666667</v>
      </c>
      <c r="E22" s="63" t="s">
        <v>1</v>
      </c>
      <c r="F22" s="64"/>
      <c r="G22" s="65"/>
      <c r="H22" s="45"/>
      <c r="I22" s="37" t="s">
        <v>20</v>
      </c>
      <c r="J22" s="38">
        <v>0.65</v>
      </c>
      <c r="K22" s="39"/>
      <c r="L22" s="47"/>
      <c r="M22" s="197"/>
      <c r="N22" s="194" t="s">
        <v>83</v>
      </c>
      <c r="O22" s="66" t="s">
        <v>95</v>
      </c>
      <c r="P22" s="67" t="s">
        <v>99</v>
      </c>
      <c r="Q22" s="68" t="s">
        <v>96</v>
      </c>
      <c r="R22" s="57"/>
      <c r="S22" s="57"/>
      <c r="T22" s="57"/>
      <c r="V22" s="72"/>
      <c r="W22" s="73"/>
      <c r="X22" s="30"/>
      <c r="Y22" s="40"/>
      <c r="Z22" s="40"/>
      <c r="AA22" s="40"/>
      <c r="AD22" s="13" t="b">
        <v>0</v>
      </c>
    </row>
    <row r="23" spans="1:30" ht="16.5" customHeight="1">
      <c r="A23" s="19"/>
      <c r="B23" s="75"/>
      <c r="C23" s="76"/>
      <c r="D23" s="74">
        <f>D22*1.36</f>
        <v>56.42186666666668</v>
      </c>
      <c r="E23" s="63" t="s">
        <v>4</v>
      </c>
      <c r="F23" s="64"/>
      <c r="G23" s="65"/>
      <c r="H23" s="45"/>
      <c r="I23" s="37" t="s">
        <v>21</v>
      </c>
      <c r="J23" s="38">
        <v>0.75</v>
      </c>
      <c r="K23" s="39"/>
      <c r="L23" s="47"/>
      <c r="M23" s="197"/>
      <c r="N23" s="194"/>
      <c r="O23" s="66">
        <f>(652+5.1*D21^2)*D15*D14*1/10</f>
        <v>3207.1564000000003</v>
      </c>
      <c r="P23" s="67">
        <f>D21</f>
        <v>7</v>
      </c>
      <c r="Q23" s="68">
        <f>O23*$D$21*10/3600</f>
        <v>62.36137444444445</v>
      </c>
      <c r="R23" s="57"/>
      <c r="S23" s="57"/>
      <c r="T23" s="57"/>
      <c r="V23" s="72"/>
      <c r="W23" s="73"/>
      <c r="X23" s="30"/>
      <c r="Y23" s="40"/>
      <c r="Z23" s="40"/>
      <c r="AA23" s="40"/>
      <c r="AD23" s="13" t="b">
        <v>0</v>
      </c>
    </row>
    <row r="24" spans="1:30" ht="16.5" customHeight="1">
      <c r="A24" s="19"/>
      <c r="B24" s="204" t="s">
        <v>101</v>
      </c>
      <c r="C24" s="205"/>
      <c r="D24" s="74">
        <f>D23/0.75</f>
        <v>75.22915555555558</v>
      </c>
      <c r="E24" s="63" t="s">
        <v>4</v>
      </c>
      <c r="F24" s="64"/>
      <c r="G24" s="65"/>
      <c r="H24" s="45"/>
      <c r="I24" s="37" t="s">
        <v>22</v>
      </c>
      <c r="J24" s="38">
        <v>0.85</v>
      </c>
      <c r="K24" s="39"/>
      <c r="AD24" s="13" t="b">
        <v>1</v>
      </c>
    </row>
    <row r="25" spans="1:18" ht="16.5" customHeight="1">
      <c r="A25" s="19"/>
      <c r="B25" s="75"/>
      <c r="C25" s="76"/>
      <c r="D25" s="74"/>
      <c r="E25" s="63"/>
      <c r="F25" s="64"/>
      <c r="G25" s="65"/>
      <c r="H25" s="36"/>
      <c r="I25" s="20"/>
      <c r="J25" s="20"/>
      <c r="K25" s="26"/>
      <c r="L25" s="47"/>
      <c r="M25" s="193" t="s">
        <v>114</v>
      </c>
      <c r="N25" s="193"/>
      <c r="O25" s="193"/>
      <c r="P25" s="193"/>
      <c r="Q25" s="193"/>
      <c r="R25" s="193"/>
    </row>
    <row r="26" spans="1:18" ht="16.5" customHeight="1">
      <c r="A26" s="19"/>
      <c r="B26" s="204" t="s">
        <v>90</v>
      </c>
      <c r="C26" s="205"/>
      <c r="D26" s="77">
        <f>10/(D21*D15)</f>
        <v>1.0043387433713642</v>
      </c>
      <c r="E26" s="63" t="s">
        <v>45</v>
      </c>
      <c r="F26" s="64"/>
      <c r="G26" s="65"/>
      <c r="H26" s="36"/>
      <c r="I26" s="195" t="s">
        <v>48</v>
      </c>
      <c r="J26" s="196"/>
      <c r="K26" s="39"/>
      <c r="L26" s="47"/>
      <c r="M26" s="193"/>
      <c r="N26" s="193"/>
      <c r="O26" s="193"/>
      <c r="P26" s="193"/>
      <c r="Q26" s="193"/>
      <c r="R26" s="193"/>
    </row>
    <row r="27" spans="1:30" ht="16.5" customHeight="1">
      <c r="A27" s="19"/>
      <c r="B27" s="204" t="s">
        <v>46</v>
      </c>
      <c r="C27" s="205"/>
      <c r="D27" s="50">
        <f>IF(AD22=TRUE,J22,IF(AD23=TRUE,J23,IF(AD24=TRUE,J24)))</f>
        <v>0.85</v>
      </c>
      <c r="E27" s="50"/>
      <c r="F27" s="64"/>
      <c r="G27" s="65"/>
      <c r="H27" s="45"/>
      <c r="I27" s="37" t="s">
        <v>86</v>
      </c>
      <c r="J27" s="38">
        <v>25</v>
      </c>
      <c r="K27" s="39"/>
      <c r="L27" s="47"/>
      <c r="M27" s="78"/>
      <c r="N27" s="78"/>
      <c r="O27" s="78"/>
      <c r="AD27" s="13" t="b">
        <v>0</v>
      </c>
    </row>
    <row r="28" spans="1:30" ht="16.5" customHeight="1">
      <c r="A28" s="19"/>
      <c r="B28" s="208" t="s">
        <v>91</v>
      </c>
      <c r="C28" s="209"/>
      <c r="D28" s="79">
        <f>D26/D27</f>
        <v>1.181574992201605</v>
      </c>
      <c r="E28" s="80" t="s">
        <v>45</v>
      </c>
      <c r="F28" s="64"/>
      <c r="G28" s="65"/>
      <c r="H28" s="45"/>
      <c r="I28" s="37" t="s">
        <v>18</v>
      </c>
      <c r="J28" s="38">
        <v>50</v>
      </c>
      <c r="K28" s="39"/>
      <c r="L28" s="47"/>
      <c r="M28" s="193" t="s">
        <v>115</v>
      </c>
      <c r="N28" s="193"/>
      <c r="O28" s="193"/>
      <c r="S28" s="81"/>
      <c r="AD28" s="13" t="b">
        <v>0</v>
      </c>
    </row>
    <row r="29" spans="1:30" ht="16.5" customHeight="1">
      <c r="A29" s="19"/>
      <c r="B29" s="75"/>
      <c r="C29" s="82"/>
      <c r="D29" s="79">
        <f>1/D28</f>
        <v>0.8463280000000001</v>
      </c>
      <c r="E29" s="80" t="s">
        <v>47</v>
      </c>
      <c r="F29" s="64"/>
      <c r="G29" s="65"/>
      <c r="H29" s="45"/>
      <c r="I29" s="37" t="s">
        <v>87</v>
      </c>
      <c r="J29" s="38">
        <v>75</v>
      </c>
      <c r="K29" s="39"/>
      <c r="L29" s="47"/>
      <c r="M29" s="192" t="s">
        <v>104</v>
      </c>
      <c r="N29" s="47">
        <f>D35</f>
        <v>120</v>
      </c>
      <c r="O29" s="12" t="s">
        <v>4</v>
      </c>
      <c r="S29" s="81"/>
      <c r="AD29" s="13" t="b">
        <v>1</v>
      </c>
    </row>
    <row r="30" spans="1:18" ht="16.5" customHeight="1">
      <c r="A30" s="19"/>
      <c r="B30" s="75"/>
      <c r="C30" s="76"/>
      <c r="D30" s="50"/>
      <c r="E30" s="50"/>
      <c r="F30" s="64"/>
      <c r="G30" s="65"/>
      <c r="H30" s="36"/>
      <c r="I30" s="20"/>
      <c r="J30" s="20"/>
      <c r="K30" s="26"/>
      <c r="L30" s="47"/>
      <c r="M30" s="192"/>
      <c r="N30" s="57">
        <f>N29/1.36</f>
        <v>88.23529411764706</v>
      </c>
      <c r="O30" s="12" t="s">
        <v>1</v>
      </c>
      <c r="P30" s="83"/>
      <c r="Q30" s="190" t="s">
        <v>116</v>
      </c>
      <c r="R30" s="190"/>
    </row>
    <row r="31" spans="1:30" ht="16.5" customHeight="1">
      <c r="A31" s="19"/>
      <c r="B31" s="204" t="s">
        <v>74</v>
      </c>
      <c r="C31" s="205"/>
      <c r="D31" s="84">
        <f>IF(AD27=TRUE,J27,IF(AD28=TRUE,J28,IF(AD29=TRUE,J29)))</f>
        <v>75</v>
      </c>
      <c r="E31" s="63" t="s">
        <v>3</v>
      </c>
      <c r="F31" s="64"/>
      <c r="G31" s="65"/>
      <c r="H31" s="36"/>
      <c r="I31" s="189" t="s">
        <v>53</v>
      </c>
      <c r="J31" s="189"/>
      <c r="K31" s="39"/>
      <c r="L31" s="47"/>
      <c r="M31" s="191" t="s">
        <v>119</v>
      </c>
      <c r="N31" s="47">
        <f>+I61</f>
        <v>560</v>
      </c>
      <c r="O31" s="12" t="s">
        <v>7</v>
      </c>
      <c r="Q31" s="190"/>
      <c r="R31" s="190"/>
      <c r="AD31" s="13" t="b">
        <v>0</v>
      </c>
    </row>
    <row r="32" spans="1:30" ht="16.5" customHeight="1">
      <c r="A32" s="19"/>
      <c r="B32" s="204" t="s">
        <v>49</v>
      </c>
      <c r="C32" s="205"/>
      <c r="D32" s="85">
        <f>D24*100/D31</f>
        <v>100.30554074074077</v>
      </c>
      <c r="E32" s="63" t="s">
        <v>4</v>
      </c>
      <c r="F32" s="64"/>
      <c r="G32" s="65"/>
      <c r="H32" s="45"/>
      <c r="I32" s="86" t="s">
        <v>75</v>
      </c>
      <c r="J32" s="38">
        <v>90</v>
      </c>
      <c r="K32" s="39"/>
      <c r="L32" s="47"/>
      <c r="M32" s="191"/>
      <c r="N32" s="87">
        <f>N30*N31</f>
        <v>49411.76470588235</v>
      </c>
      <c r="O32" s="12" t="s">
        <v>0</v>
      </c>
      <c r="Q32" s="57" t="s">
        <v>68</v>
      </c>
      <c r="R32" s="88" t="s">
        <v>117</v>
      </c>
      <c r="AD32" s="13" t="b">
        <v>0</v>
      </c>
    </row>
    <row r="33" spans="1:30" ht="16.5" customHeight="1">
      <c r="A33" s="19"/>
      <c r="B33" s="55"/>
      <c r="C33" s="56"/>
      <c r="D33" s="41"/>
      <c r="E33" s="41"/>
      <c r="F33" s="43"/>
      <c r="G33" s="44"/>
      <c r="H33" s="45"/>
      <c r="I33" s="37" t="s">
        <v>50</v>
      </c>
      <c r="J33" s="38">
        <v>120</v>
      </c>
      <c r="K33" s="39"/>
      <c r="M33" s="191" t="s">
        <v>118</v>
      </c>
      <c r="N33" s="87">
        <v>12000</v>
      </c>
      <c r="O33" s="12" t="s">
        <v>2</v>
      </c>
      <c r="Q33" s="87">
        <v>500</v>
      </c>
      <c r="R33" s="57">
        <f>$N$32/$N$33+$N$32/($N$34*Q33)+($N$32*$N$35*0.6)/(Q33*100)+($N$32*(($N$36+$N$37)/(Q33*100)))+$N$30*$N$39*$N$38</f>
        <v>14.967058823529412</v>
      </c>
      <c r="AD33" s="13" t="b">
        <v>1</v>
      </c>
    </row>
    <row r="34" spans="1:30" ht="16.5" customHeight="1">
      <c r="A34" s="19"/>
      <c r="B34" s="198" t="s">
        <v>103</v>
      </c>
      <c r="C34" s="199"/>
      <c r="D34" s="50" t="str">
        <f>IF(AD32=TRUE,"Pequeño",IF(AD33=TRUE,"Mediano",IF(AD34=TRUE,"Grande",IF(AD35=TRUE,"Muy Grande",))))</f>
        <v>Mediano</v>
      </c>
      <c r="E34" s="42"/>
      <c r="F34" s="43"/>
      <c r="G34" s="44"/>
      <c r="H34" s="45"/>
      <c r="I34" s="37" t="s">
        <v>51</v>
      </c>
      <c r="J34" s="38">
        <v>150</v>
      </c>
      <c r="K34" s="39"/>
      <c r="L34" s="47"/>
      <c r="M34" s="191"/>
      <c r="N34" s="47">
        <v>20</v>
      </c>
      <c r="O34" s="12" t="s">
        <v>5</v>
      </c>
      <c r="Q34" s="87">
        <v>1000</v>
      </c>
      <c r="R34" s="57">
        <f>$N$32/$N$33+$N$32/($N$34*Q34)+($N$32*$N$35*0.6)/(Q34*100)+($N$32*(($N$36+$N$37)/(Q34*100)))+$N$30*$N$39*$N$38</f>
        <v>10.865882352941176</v>
      </c>
      <c r="AD34" s="13" t="b">
        <v>0</v>
      </c>
    </row>
    <row r="35" spans="1:30" ht="16.5" customHeight="1">
      <c r="A35" s="19"/>
      <c r="B35" s="206" t="s">
        <v>104</v>
      </c>
      <c r="C35" s="207"/>
      <c r="D35" s="89">
        <f>IF(AD32=TRUE,J32,IF(AD33=TRUE,J33,IF(AD34=TRUE,J34,IF(AD35=TRUE,J35,""))))</f>
        <v>120</v>
      </c>
      <c r="E35" s="90" t="s">
        <v>4</v>
      </c>
      <c r="F35" s="91"/>
      <c r="G35" s="92"/>
      <c r="H35" s="45"/>
      <c r="I35" s="37" t="s">
        <v>52</v>
      </c>
      <c r="J35" s="38">
        <v>180</v>
      </c>
      <c r="K35" s="26"/>
      <c r="L35" s="47"/>
      <c r="M35" s="27" t="s">
        <v>120</v>
      </c>
      <c r="N35" s="70">
        <f>+D53</f>
        <v>5</v>
      </c>
      <c r="O35" s="12" t="s">
        <v>3</v>
      </c>
      <c r="AD35" s="13" t="b">
        <v>0</v>
      </c>
    </row>
    <row r="36" spans="1:30" ht="16.5" customHeight="1">
      <c r="A36" s="19"/>
      <c r="B36" s="93"/>
      <c r="C36" s="93"/>
      <c r="D36" s="23"/>
      <c r="E36" s="94"/>
      <c r="F36" s="20"/>
      <c r="G36" s="20"/>
      <c r="H36" s="36"/>
      <c r="I36" s="20"/>
      <c r="J36" s="20"/>
      <c r="K36" s="39"/>
      <c r="L36" s="47"/>
      <c r="M36" s="27" t="s">
        <v>8</v>
      </c>
      <c r="N36" s="70">
        <v>0.2</v>
      </c>
      <c r="O36" s="12" t="s">
        <v>3</v>
      </c>
      <c r="AD36" s="13" t="b">
        <v>1</v>
      </c>
    </row>
    <row r="37" spans="1:30" ht="16.5" customHeight="1">
      <c r="A37" s="19"/>
      <c r="B37" s="202" t="s">
        <v>88</v>
      </c>
      <c r="C37" s="203"/>
      <c r="D37" s="95"/>
      <c r="E37" s="96"/>
      <c r="F37" s="20"/>
      <c r="G37" s="20"/>
      <c r="H37" s="36"/>
      <c r="I37" s="189" t="s">
        <v>55</v>
      </c>
      <c r="J37" s="189"/>
      <c r="K37" s="39"/>
      <c r="L37" s="97"/>
      <c r="M37" s="27" t="s">
        <v>10</v>
      </c>
      <c r="N37" s="70">
        <v>0.1</v>
      </c>
      <c r="O37" s="12" t="s">
        <v>3</v>
      </c>
      <c r="AD37" s="13" t="b">
        <v>0</v>
      </c>
    </row>
    <row r="38" spans="1:15" ht="16.5" customHeight="1">
      <c r="A38" s="19"/>
      <c r="B38" s="200" t="s">
        <v>9</v>
      </c>
      <c r="C38" s="201"/>
      <c r="D38" s="98">
        <f>IF(D31=J27,J39*D35/1.36,IF(D31=J28,J40*D35/1.36,IF(D31=J29,J41*D35/1.36)))</f>
        <v>18.26470588235294</v>
      </c>
      <c r="E38" s="99" t="s">
        <v>12</v>
      </c>
      <c r="F38" s="20"/>
      <c r="G38" s="20"/>
      <c r="H38" s="36"/>
      <c r="I38" s="37" t="s">
        <v>56</v>
      </c>
      <c r="J38" s="38" t="s">
        <v>98</v>
      </c>
      <c r="K38" s="39"/>
      <c r="M38" s="100" t="s">
        <v>113</v>
      </c>
      <c r="N38" s="70">
        <v>0.2</v>
      </c>
      <c r="O38" s="101" t="s">
        <v>6</v>
      </c>
    </row>
    <row r="39" spans="1:15" ht="16.5" customHeight="1">
      <c r="A39" s="19"/>
      <c r="B39" s="55"/>
      <c r="C39" s="56"/>
      <c r="D39" s="77">
        <f>D38*D28</f>
        <v>21.58111971050578</v>
      </c>
      <c r="E39" s="54" t="s">
        <v>94</v>
      </c>
      <c r="F39" s="20"/>
      <c r="G39" s="20"/>
      <c r="H39" s="36"/>
      <c r="I39" s="37" t="s">
        <v>20</v>
      </c>
      <c r="J39" s="102">
        <v>0.1</v>
      </c>
      <c r="K39" s="39"/>
      <c r="M39" s="100" t="s">
        <v>121</v>
      </c>
      <c r="N39" s="103">
        <v>0.15</v>
      </c>
      <c r="O39" s="101" t="s">
        <v>11</v>
      </c>
    </row>
    <row r="40" spans="1:13" ht="16.5" customHeight="1">
      <c r="A40" s="19"/>
      <c r="B40" s="198" t="s">
        <v>57</v>
      </c>
      <c r="C40" s="199"/>
      <c r="D40" s="104">
        <f>D38*0.1/100</f>
        <v>0.01826470588235294</v>
      </c>
      <c r="E40" s="54" t="s">
        <v>12</v>
      </c>
      <c r="F40" s="20"/>
      <c r="G40" s="20"/>
      <c r="H40" s="36"/>
      <c r="I40" s="37" t="s">
        <v>21</v>
      </c>
      <c r="J40" s="102">
        <v>0.15</v>
      </c>
      <c r="K40" s="39"/>
      <c r="L40" s="47"/>
      <c r="M40" s="27"/>
    </row>
    <row r="41" spans="1:20" ht="16.5" customHeight="1">
      <c r="A41" s="19"/>
      <c r="B41" s="105"/>
      <c r="C41" s="43"/>
      <c r="D41" s="104">
        <f>D39*0.1/100</f>
        <v>0.021581119710505782</v>
      </c>
      <c r="E41" s="54" t="s">
        <v>94</v>
      </c>
      <c r="F41" s="20"/>
      <c r="G41" s="20"/>
      <c r="H41" s="36"/>
      <c r="I41" s="37" t="s">
        <v>22</v>
      </c>
      <c r="J41" s="102">
        <v>0.207</v>
      </c>
      <c r="K41" s="26"/>
      <c r="L41" s="47"/>
      <c r="M41" s="186" t="s">
        <v>76</v>
      </c>
      <c r="N41" s="186" t="s">
        <v>77</v>
      </c>
      <c r="O41" s="186" t="s">
        <v>78</v>
      </c>
      <c r="P41" s="186" t="s">
        <v>102</v>
      </c>
      <c r="Q41" s="186" t="s">
        <v>79</v>
      </c>
      <c r="R41" s="186" t="s">
        <v>80</v>
      </c>
      <c r="S41" s="186" t="s">
        <v>81</v>
      </c>
      <c r="T41" s="186" t="s">
        <v>97</v>
      </c>
    </row>
    <row r="42" spans="1:20" ht="16.5" customHeight="1" thickBot="1">
      <c r="A42" s="19"/>
      <c r="B42" s="225" t="s">
        <v>92</v>
      </c>
      <c r="C42" s="226"/>
      <c r="D42" s="106">
        <v>1</v>
      </c>
      <c r="E42" s="107" t="s">
        <v>6</v>
      </c>
      <c r="F42" s="20"/>
      <c r="G42" s="20"/>
      <c r="H42" s="36"/>
      <c r="I42" s="20"/>
      <c r="J42" s="20"/>
      <c r="K42" s="39"/>
      <c r="L42" s="47"/>
      <c r="M42" s="186"/>
      <c r="N42" s="186"/>
      <c r="O42" s="186"/>
      <c r="P42" s="186"/>
      <c r="Q42" s="186"/>
      <c r="R42" s="186"/>
      <c r="S42" s="186"/>
      <c r="T42" s="186"/>
    </row>
    <row r="43" spans="1:20" ht="16.5" customHeight="1" thickTop="1">
      <c r="A43" s="19"/>
      <c r="B43" s="108" t="s">
        <v>93</v>
      </c>
      <c r="C43" s="109"/>
      <c r="D43" s="110">
        <f>D42*D38</f>
        <v>18.26470588235294</v>
      </c>
      <c r="E43" s="111" t="s">
        <v>69</v>
      </c>
      <c r="F43" s="20"/>
      <c r="G43" s="20"/>
      <c r="H43" s="36"/>
      <c r="I43" s="20"/>
      <c r="J43" s="20"/>
      <c r="K43" s="39"/>
      <c r="L43" s="47"/>
      <c r="M43" s="67">
        <v>180</v>
      </c>
      <c r="N43" s="67">
        <v>75</v>
      </c>
      <c r="O43" s="67">
        <f>N43/100*M43</f>
        <v>135</v>
      </c>
      <c r="P43" s="112">
        <f aca="true" t="shared" si="0" ref="P43:P54">0.75*O43</f>
        <v>101.25</v>
      </c>
      <c r="Q43" s="67">
        <f>$D$21</f>
        <v>7</v>
      </c>
      <c r="R43" s="67">
        <f aca="true" t="shared" si="1" ref="R43:R48">J$14</f>
        <v>60</v>
      </c>
      <c r="S43" s="67" t="str">
        <f aca="true" t="shared" si="2" ref="S43:S51">D$14</f>
        <v>25</v>
      </c>
      <c r="T43" s="68">
        <f aca="true" t="shared" si="3" ref="T43:T54">(P43)*3600*0.1/(1.36*Q43*R43*S43)</f>
        <v>2.552521008403361</v>
      </c>
    </row>
    <row r="44" spans="1:20" ht="16.5" customHeight="1">
      <c r="A44" s="19"/>
      <c r="B44" s="113"/>
      <c r="C44" s="114"/>
      <c r="D44" s="115">
        <f>D39*D42</f>
        <v>21.58111971050578</v>
      </c>
      <c r="E44" s="116" t="s">
        <v>67</v>
      </c>
      <c r="F44" s="20"/>
      <c r="G44" s="20"/>
      <c r="H44" s="20"/>
      <c r="I44" s="20"/>
      <c r="J44" s="20"/>
      <c r="K44" s="117"/>
      <c r="M44" s="67">
        <v>180</v>
      </c>
      <c r="N44" s="67">
        <v>50</v>
      </c>
      <c r="O44" s="67">
        <f aca="true" t="shared" si="4" ref="O44:O54">N44/100*M44</f>
        <v>90</v>
      </c>
      <c r="P44" s="112">
        <f t="shared" si="0"/>
        <v>67.5</v>
      </c>
      <c r="Q44" s="67">
        <f aca="true" t="shared" si="5" ref="Q44:Q54">$D$21</f>
        <v>7</v>
      </c>
      <c r="R44" s="67">
        <f t="shared" si="1"/>
        <v>60</v>
      </c>
      <c r="S44" s="67" t="str">
        <f t="shared" si="2"/>
        <v>25</v>
      </c>
      <c r="T44" s="68">
        <f t="shared" si="3"/>
        <v>1.7016806722689073</v>
      </c>
    </row>
    <row r="45" spans="1:20" ht="16.5" customHeight="1">
      <c r="A45" s="19"/>
      <c r="B45" s="20"/>
      <c r="C45" s="20"/>
      <c r="D45" s="23"/>
      <c r="E45" s="23"/>
      <c r="F45" s="20"/>
      <c r="G45" s="20"/>
      <c r="H45" s="20"/>
      <c r="I45" s="20"/>
      <c r="J45" s="20"/>
      <c r="K45" s="117"/>
      <c r="M45" s="67">
        <v>180</v>
      </c>
      <c r="N45" s="67">
        <v>25</v>
      </c>
      <c r="O45" s="67">
        <f t="shared" si="4"/>
        <v>45</v>
      </c>
      <c r="P45" s="112">
        <f t="shared" si="0"/>
        <v>33.75</v>
      </c>
      <c r="Q45" s="67">
        <f t="shared" si="5"/>
        <v>7</v>
      </c>
      <c r="R45" s="67">
        <f t="shared" si="1"/>
        <v>60</v>
      </c>
      <c r="S45" s="67" t="str">
        <f t="shared" si="2"/>
        <v>25</v>
      </c>
      <c r="T45" s="68">
        <f t="shared" si="3"/>
        <v>0.8508403361344536</v>
      </c>
    </row>
    <row r="46" spans="1:20" ht="16.5" customHeight="1">
      <c r="A46" s="19"/>
      <c r="B46" s="202" t="s">
        <v>89</v>
      </c>
      <c r="C46" s="203"/>
      <c r="D46" s="95"/>
      <c r="E46" s="95"/>
      <c r="F46" s="118"/>
      <c r="G46" s="119"/>
      <c r="H46" s="20"/>
      <c r="I46" s="189" t="s">
        <v>109</v>
      </c>
      <c r="J46" s="189"/>
      <c r="K46" s="117"/>
      <c r="M46" s="67">
        <v>150</v>
      </c>
      <c r="N46" s="67">
        <v>75</v>
      </c>
      <c r="O46" s="67">
        <f t="shared" si="4"/>
        <v>112.5</v>
      </c>
      <c r="P46" s="112">
        <f t="shared" si="0"/>
        <v>84.375</v>
      </c>
      <c r="Q46" s="67">
        <f>$D$21</f>
        <v>7</v>
      </c>
      <c r="R46" s="67">
        <f t="shared" si="1"/>
        <v>60</v>
      </c>
      <c r="S46" s="67" t="str">
        <f t="shared" si="2"/>
        <v>25</v>
      </c>
      <c r="T46" s="68">
        <f t="shared" si="3"/>
        <v>2.127100840336134</v>
      </c>
    </row>
    <row r="47" spans="1:20" ht="16.5" customHeight="1">
      <c r="A47" s="19"/>
      <c r="B47" s="200" t="s">
        <v>71</v>
      </c>
      <c r="C47" s="201"/>
      <c r="D47" s="120">
        <f>IF(AD36=TRUE,J47,J48)</f>
        <v>100</v>
      </c>
      <c r="E47" s="121" t="s">
        <v>68</v>
      </c>
      <c r="F47" s="34"/>
      <c r="G47" s="35"/>
      <c r="H47" s="122"/>
      <c r="I47" s="37" t="s">
        <v>20</v>
      </c>
      <c r="J47" s="123">
        <v>100</v>
      </c>
      <c r="K47" s="26"/>
      <c r="M47" s="67">
        <v>150</v>
      </c>
      <c r="N47" s="67">
        <v>50</v>
      </c>
      <c r="O47" s="67">
        <f t="shared" si="4"/>
        <v>75</v>
      </c>
      <c r="P47" s="112">
        <f t="shared" si="0"/>
        <v>56.25</v>
      </c>
      <c r="Q47" s="67">
        <f t="shared" si="5"/>
        <v>7</v>
      </c>
      <c r="R47" s="67">
        <f t="shared" si="1"/>
        <v>60</v>
      </c>
      <c r="S47" s="67" t="str">
        <f t="shared" si="2"/>
        <v>25</v>
      </c>
      <c r="T47" s="68">
        <f t="shared" si="3"/>
        <v>1.4180672268907561</v>
      </c>
    </row>
    <row r="48" spans="1:20" ht="16.5" customHeight="1">
      <c r="A48" s="19"/>
      <c r="B48" s="55"/>
      <c r="C48" s="56"/>
      <c r="D48" s="50"/>
      <c r="E48" s="41"/>
      <c r="F48" s="43"/>
      <c r="G48" s="44"/>
      <c r="H48" s="122"/>
      <c r="I48" s="37" t="s">
        <v>22</v>
      </c>
      <c r="J48" s="124">
        <v>200</v>
      </c>
      <c r="K48" s="39"/>
      <c r="M48" s="67">
        <v>150</v>
      </c>
      <c r="N48" s="67">
        <v>25</v>
      </c>
      <c r="O48" s="67">
        <f t="shared" si="4"/>
        <v>37.5</v>
      </c>
      <c r="P48" s="112">
        <f t="shared" si="0"/>
        <v>28.125</v>
      </c>
      <c r="Q48" s="67">
        <f t="shared" si="5"/>
        <v>7</v>
      </c>
      <c r="R48" s="67">
        <f t="shared" si="1"/>
        <v>60</v>
      </c>
      <c r="S48" s="67" t="str">
        <f t="shared" si="2"/>
        <v>25</v>
      </c>
      <c r="T48" s="68">
        <f t="shared" si="3"/>
        <v>0.7090336134453781</v>
      </c>
    </row>
    <row r="49" spans="1:20" ht="16.5" customHeight="1">
      <c r="A49" s="19"/>
      <c r="B49" s="198" t="s">
        <v>58</v>
      </c>
      <c r="C49" s="199"/>
      <c r="D49" s="52">
        <f>$F$49*AI17</f>
        <v>13200</v>
      </c>
      <c r="E49" s="42" t="s">
        <v>0</v>
      </c>
      <c r="F49" s="125">
        <v>3300</v>
      </c>
      <c r="G49" s="126" t="s">
        <v>112</v>
      </c>
      <c r="H49" s="20"/>
      <c r="I49" s="20"/>
      <c r="J49" s="20"/>
      <c r="K49" s="39"/>
      <c r="M49" s="67">
        <v>120</v>
      </c>
      <c r="N49" s="67">
        <v>75</v>
      </c>
      <c r="O49" s="67">
        <f t="shared" si="4"/>
        <v>90</v>
      </c>
      <c r="P49" s="112">
        <f t="shared" si="0"/>
        <v>67.5</v>
      </c>
      <c r="Q49" s="67">
        <f>$D$21</f>
        <v>7</v>
      </c>
      <c r="R49" s="67">
        <f aca="true" t="shared" si="6" ref="R49:R54">J$14</f>
        <v>60</v>
      </c>
      <c r="S49" s="67" t="str">
        <f t="shared" si="2"/>
        <v>25</v>
      </c>
      <c r="T49" s="68">
        <f t="shared" si="3"/>
        <v>1.7016806722689073</v>
      </c>
    </row>
    <row r="50" spans="1:20" ht="16.5" customHeight="1">
      <c r="A50" s="19"/>
      <c r="B50" s="105"/>
      <c r="C50" s="43"/>
      <c r="D50" s="52"/>
      <c r="E50" s="41"/>
      <c r="F50" s="43"/>
      <c r="G50" s="44"/>
      <c r="H50" s="20"/>
      <c r="I50" s="20"/>
      <c r="J50" s="20"/>
      <c r="K50" s="127"/>
      <c r="M50" s="67">
        <v>120</v>
      </c>
      <c r="N50" s="67">
        <v>50</v>
      </c>
      <c r="O50" s="67">
        <f t="shared" si="4"/>
        <v>60</v>
      </c>
      <c r="P50" s="112">
        <f t="shared" si="0"/>
        <v>45</v>
      </c>
      <c r="Q50" s="67">
        <f t="shared" si="5"/>
        <v>7</v>
      </c>
      <c r="R50" s="67">
        <f t="shared" si="6"/>
        <v>60</v>
      </c>
      <c r="S50" s="67" t="str">
        <f t="shared" si="2"/>
        <v>25</v>
      </c>
      <c r="T50" s="68">
        <f t="shared" si="3"/>
        <v>1.134453781512605</v>
      </c>
    </row>
    <row r="51" spans="1:20" ht="16.5" customHeight="1">
      <c r="A51" s="19"/>
      <c r="B51" s="198" t="s">
        <v>59</v>
      </c>
      <c r="C51" s="199"/>
      <c r="D51" s="128">
        <v>3000</v>
      </c>
      <c r="E51" s="42" t="s">
        <v>65</v>
      </c>
      <c r="F51" s="77">
        <f>+$D$49/$D51</f>
        <v>4.4</v>
      </c>
      <c r="G51" s="126" t="s">
        <v>69</v>
      </c>
      <c r="H51" s="20"/>
      <c r="I51" s="20"/>
      <c r="J51" s="20"/>
      <c r="K51" s="26"/>
      <c r="M51" s="67">
        <v>120</v>
      </c>
      <c r="N51" s="67">
        <v>25</v>
      </c>
      <c r="O51" s="67">
        <f t="shared" si="4"/>
        <v>30</v>
      </c>
      <c r="P51" s="112">
        <f t="shared" si="0"/>
        <v>22.5</v>
      </c>
      <c r="Q51" s="67">
        <f t="shared" si="5"/>
        <v>7</v>
      </c>
      <c r="R51" s="67">
        <f t="shared" si="6"/>
        <v>60</v>
      </c>
      <c r="S51" s="67" t="str">
        <f t="shared" si="2"/>
        <v>25</v>
      </c>
      <c r="T51" s="68">
        <f t="shared" si="3"/>
        <v>0.5672268907563025</v>
      </c>
    </row>
    <row r="52" spans="1:20" ht="16.5" customHeight="1">
      <c r="A52" s="19"/>
      <c r="B52" s="129" t="s">
        <v>60</v>
      </c>
      <c r="C52" s="58"/>
      <c r="D52" s="130">
        <v>20</v>
      </c>
      <c r="E52" s="42" t="s">
        <v>5</v>
      </c>
      <c r="F52" s="77">
        <f>+$D$49/($D52*D47)</f>
        <v>6.6</v>
      </c>
      <c r="G52" s="126" t="s">
        <v>69</v>
      </c>
      <c r="H52" s="20"/>
      <c r="I52" s="20"/>
      <c r="J52" s="20"/>
      <c r="K52" s="26"/>
      <c r="M52" s="67">
        <v>90</v>
      </c>
      <c r="N52" s="67">
        <v>75</v>
      </c>
      <c r="O52" s="67">
        <f t="shared" si="4"/>
        <v>67.5</v>
      </c>
      <c r="P52" s="112">
        <f t="shared" si="0"/>
        <v>50.625</v>
      </c>
      <c r="Q52" s="67">
        <f>$D$21</f>
        <v>7</v>
      </c>
      <c r="R52" s="67">
        <f t="shared" si="6"/>
        <v>60</v>
      </c>
      <c r="S52" s="67" t="str">
        <f>D$14</f>
        <v>25</v>
      </c>
      <c r="T52" s="68">
        <f t="shared" si="3"/>
        <v>1.2762605042016806</v>
      </c>
    </row>
    <row r="53" spans="1:20" ht="16.5" customHeight="1">
      <c r="A53" s="19"/>
      <c r="B53" s="198" t="s">
        <v>61</v>
      </c>
      <c r="C53" s="199"/>
      <c r="D53" s="130">
        <v>5</v>
      </c>
      <c r="E53" s="42" t="s">
        <v>3</v>
      </c>
      <c r="F53" s="77">
        <f>+$D$49*0.006*$D53/D47</f>
        <v>3.96</v>
      </c>
      <c r="G53" s="126" t="s">
        <v>69</v>
      </c>
      <c r="H53" s="20"/>
      <c r="I53" s="187" t="str">
        <f>CONCATENATE("Vida útil para ",D47," h/año")</f>
        <v>Vida útil para 100 h/año</v>
      </c>
      <c r="J53" s="188"/>
      <c r="K53" s="131"/>
      <c r="M53" s="67">
        <v>90</v>
      </c>
      <c r="N53" s="67">
        <v>50</v>
      </c>
      <c r="O53" s="67">
        <f t="shared" si="4"/>
        <v>45</v>
      </c>
      <c r="P53" s="112">
        <f t="shared" si="0"/>
        <v>33.75</v>
      </c>
      <c r="Q53" s="67">
        <f t="shared" si="5"/>
        <v>7</v>
      </c>
      <c r="R53" s="67">
        <f t="shared" si="6"/>
        <v>60</v>
      </c>
      <c r="S53" s="67" t="str">
        <f>D$14</f>
        <v>25</v>
      </c>
      <c r="T53" s="68">
        <f t="shared" si="3"/>
        <v>0.8508403361344536</v>
      </c>
    </row>
    <row r="54" spans="1:20" ht="16.5" customHeight="1">
      <c r="A54" s="19"/>
      <c r="B54" s="198" t="s">
        <v>62</v>
      </c>
      <c r="C54" s="199"/>
      <c r="D54" s="130">
        <v>0.2</v>
      </c>
      <c r="E54" s="42" t="s">
        <v>66</v>
      </c>
      <c r="F54" s="77">
        <f>+$D$49*$D54/(100*D47)</f>
        <v>0.264</v>
      </c>
      <c r="G54" s="126" t="s">
        <v>69</v>
      </c>
      <c r="H54" s="20"/>
      <c r="I54" s="132" t="s">
        <v>65</v>
      </c>
      <c r="J54" s="133">
        <f>+$D$49/($F$51+$F$52)</f>
        <v>1200</v>
      </c>
      <c r="K54" s="134"/>
      <c r="M54" s="67">
        <v>90</v>
      </c>
      <c r="N54" s="67">
        <v>25</v>
      </c>
      <c r="O54" s="67">
        <f t="shared" si="4"/>
        <v>22.5</v>
      </c>
      <c r="P54" s="112">
        <f t="shared" si="0"/>
        <v>16.875</v>
      </c>
      <c r="Q54" s="67">
        <f t="shared" si="5"/>
        <v>7</v>
      </c>
      <c r="R54" s="67">
        <f t="shared" si="6"/>
        <v>60</v>
      </c>
      <c r="S54" s="67" t="str">
        <f>D$14</f>
        <v>25</v>
      </c>
      <c r="T54" s="68">
        <f t="shared" si="3"/>
        <v>0.4254201680672268</v>
      </c>
    </row>
    <row r="55" spans="1:11" ht="16.5" customHeight="1">
      <c r="A55" s="19"/>
      <c r="B55" s="198" t="s">
        <v>63</v>
      </c>
      <c r="C55" s="199"/>
      <c r="D55" s="130">
        <v>0.1</v>
      </c>
      <c r="E55" s="42" t="s">
        <v>66</v>
      </c>
      <c r="F55" s="77">
        <f>+$D$49*$D55/(D47*100)</f>
        <v>0.132</v>
      </c>
      <c r="G55" s="126" t="s">
        <v>69</v>
      </c>
      <c r="H55" s="20"/>
      <c r="I55" s="132" t="s">
        <v>5</v>
      </c>
      <c r="J55" s="135">
        <f>+$D$49/($D$47*($F$51+$F$52))</f>
        <v>12</v>
      </c>
      <c r="K55" s="136"/>
    </row>
    <row r="56" spans="1:11" ht="16.5" customHeight="1" thickBot="1">
      <c r="A56" s="19"/>
      <c r="B56" s="225" t="s">
        <v>64</v>
      </c>
      <c r="C56" s="226"/>
      <c r="D56" s="106">
        <v>6</v>
      </c>
      <c r="E56" s="137" t="s">
        <v>67</v>
      </c>
      <c r="F56" s="138">
        <f>+D56/D28</f>
        <v>5.077968</v>
      </c>
      <c r="G56" s="139" t="s">
        <v>69</v>
      </c>
      <c r="H56" s="20"/>
      <c r="I56" s="20"/>
      <c r="J56" s="20"/>
      <c r="K56" s="26"/>
    </row>
    <row r="57" spans="1:11" ht="16.5" customHeight="1" thickTop="1">
      <c r="A57" s="19"/>
      <c r="B57" s="108" t="s">
        <v>70</v>
      </c>
      <c r="D57" s="41"/>
      <c r="E57" s="41"/>
      <c r="F57" s="77">
        <f>SUM(F51:F56)</f>
        <v>20.433968</v>
      </c>
      <c r="G57" s="126" t="s">
        <v>69</v>
      </c>
      <c r="H57" s="20"/>
      <c r="I57" s="20"/>
      <c r="J57" s="20"/>
      <c r="K57" s="26"/>
    </row>
    <row r="58" spans="1:11" ht="16.5" customHeight="1">
      <c r="A58" s="19"/>
      <c r="B58" s="140"/>
      <c r="C58" s="141"/>
      <c r="D58" s="142"/>
      <c r="E58" s="142"/>
      <c r="F58" s="143">
        <f>+F57*D28</f>
        <v>24.144265580247847</v>
      </c>
      <c r="G58" s="144" t="s">
        <v>67</v>
      </c>
      <c r="H58" s="20"/>
      <c r="I58" s="20"/>
      <c r="J58" s="20"/>
      <c r="K58" s="26"/>
    </row>
    <row r="59" spans="1:11" ht="16.5" customHeight="1">
      <c r="A59" s="19"/>
      <c r="B59" s="145"/>
      <c r="C59" s="145"/>
      <c r="D59" s="146"/>
      <c r="E59" s="146"/>
      <c r="F59" s="145"/>
      <c r="G59" s="147"/>
      <c r="H59" s="20"/>
      <c r="I59" s="20"/>
      <c r="J59" s="20"/>
      <c r="K59" s="26"/>
    </row>
    <row r="60" spans="1:11" ht="16.5" customHeight="1">
      <c r="A60" s="19"/>
      <c r="B60" s="212" t="s">
        <v>73</v>
      </c>
      <c r="C60" s="212"/>
      <c r="D60" s="212"/>
      <c r="E60" s="213" t="s">
        <v>122</v>
      </c>
      <c r="F60" s="213"/>
      <c r="G60" s="148"/>
      <c r="H60" s="20"/>
      <c r="I60" s="224" t="s">
        <v>129</v>
      </c>
      <c r="J60" s="224"/>
      <c r="K60" s="26"/>
    </row>
    <row r="61" spans="1:11" ht="16.5" customHeight="1">
      <c r="A61" s="19"/>
      <c r="B61" s="214" t="s">
        <v>108</v>
      </c>
      <c r="C61" s="215"/>
      <c r="D61" s="149" t="s">
        <v>107</v>
      </c>
      <c r="E61" s="150" t="s">
        <v>69</v>
      </c>
      <c r="F61" s="150" t="s">
        <v>67</v>
      </c>
      <c r="G61" s="151"/>
      <c r="H61" s="20"/>
      <c r="I61" s="152">
        <v>560</v>
      </c>
      <c r="J61" s="86" t="s">
        <v>130</v>
      </c>
      <c r="K61" s="26"/>
    </row>
    <row r="62" spans="1:11" ht="16.5" customHeight="1">
      <c r="A62" s="19"/>
      <c r="B62" s="153"/>
      <c r="C62" s="154" t="s">
        <v>106</v>
      </c>
      <c r="D62" s="155">
        <f>R33</f>
        <v>14.967058823529412</v>
      </c>
      <c r="E62" s="135">
        <f>IF(AD68=TRUE,D62+D43,D62*0)</f>
        <v>0</v>
      </c>
      <c r="F62" s="156">
        <f>E62*$D$28</f>
        <v>0</v>
      </c>
      <c r="G62" s="157">
        <f>IF(AD68=TRUE,F62,F62*0)</f>
        <v>0</v>
      </c>
      <c r="H62" s="20"/>
      <c r="I62" s="20"/>
      <c r="J62" s="20"/>
      <c r="K62" s="26"/>
    </row>
    <row r="63" spans="1:11" ht="16.5" customHeight="1">
      <c r="A63" s="19"/>
      <c r="B63" s="153"/>
      <c r="C63" s="154" t="s">
        <v>105</v>
      </c>
      <c r="D63" s="155">
        <f>R34</f>
        <v>10.865882352941176</v>
      </c>
      <c r="E63" s="135">
        <f>IF(AD69=TRUE,D63+D43,D63*0)</f>
        <v>29.130588235294113</v>
      </c>
      <c r="F63" s="156">
        <f>E63*$D$28</f>
        <v>34.419974566945804</v>
      </c>
      <c r="G63" s="157">
        <f>IF(AD69=TRUE,F63,F63*0)</f>
        <v>34.419974566945804</v>
      </c>
      <c r="H63" s="20"/>
      <c r="I63" s="20"/>
      <c r="J63" s="20"/>
      <c r="K63" s="26"/>
    </row>
    <row r="64" spans="1:30" s="164" customFormat="1" ht="16.5" customHeight="1">
      <c r="A64" s="158"/>
      <c r="B64" s="25"/>
      <c r="C64" s="159"/>
      <c r="D64" s="28"/>
      <c r="E64" s="21"/>
      <c r="F64" s="160"/>
      <c r="G64" s="161"/>
      <c r="H64" s="25"/>
      <c r="I64" s="25"/>
      <c r="J64" s="25"/>
      <c r="K64" s="162"/>
      <c r="L64" s="163"/>
      <c r="M64" s="101"/>
      <c r="N64" s="101"/>
      <c r="O64" s="101"/>
      <c r="P64" s="101"/>
      <c r="Q64" s="101"/>
      <c r="R64" s="101"/>
      <c r="S64" s="101"/>
      <c r="T64" s="101"/>
      <c r="U64" s="101"/>
      <c r="AD64" s="13"/>
    </row>
    <row r="65" spans="1:11" ht="16.5" customHeight="1">
      <c r="A65" s="19"/>
      <c r="B65" s="216" t="s">
        <v>123</v>
      </c>
      <c r="C65" s="217"/>
      <c r="D65" s="218"/>
      <c r="E65" s="219" t="s">
        <v>70</v>
      </c>
      <c r="F65" s="219"/>
      <c r="G65" s="148"/>
      <c r="H65" s="20"/>
      <c r="I65" s="20"/>
      <c r="J65" s="20"/>
      <c r="K65" s="26"/>
    </row>
    <row r="66" spans="1:11" ht="16.5" customHeight="1">
      <c r="A66" s="19"/>
      <c r="B66" s="214" t="s">
        <v>108</v>
      </c>
      <c r="C66" s="215"/>
      <c r="D66" s="165" t="s">
        <v>72</v>
      </c>
      <c r="E66" s="220" t="s">
        <v>67</v>
      </c>
      <c r="F66" s="221"/>
      <c r="G66" s="36"/>
      <c r="H66" s="20"/>
      <c r="I66" s="20"/>
      <c r="J66" s="20"/>
      <c r="K66" s="26"/>
    </row>
    <row r="67" spans="1:11" ht="16.5" customHeight="1">
      <c r="A67" s="19"/>
      <c r="B67" s="154"/>
      <c r="C67" s="166" t="str">
        <f>IF(D47=J47,"Baja","Alta")</f>
        <v>Baja</v>
      </c>
      <c r="D67" s="167">
        <f>D47*D29</f>
        <v>84.6328</v>
      </c>
      <c r="E67" s="210">
        <f>+F58+$G$62+$G$63</f>
        <v>58.56424014719365</v>
      </c>
      <c r="F67" s="211" t="e">
        <f>$D$25*($D$46/$D$48)+$D$46/($D$49*D67*$D$25)+(($D$46*0.006*$D$50)/(D67*$D$25))+$D$46*($D$51+$D$52)/(100*D67*$D$25)+($D$53/$D$25)+$D$72</f>
        <v>#DIV/0!</v>
      </c>
      <c r="G67" s="36"/>
      <c r="H67" s="20"/>
      <c r="I67" s="20"/>
      <c r="J67" s="20"/>
      <c r="K67" s="26"/>
    </row>
    <row r="68" spans="1:30" ht="16.5" customHeight="1">
      <c r="A68" s="19"/>
      <c r="B68" s="16"/>
      <c r="C68" s="16"/>
      <c r="D68" s="168"/>
      <c r="E68" s="169"/>
      <c r="F68" s="169"/>
      <c r="G68" s="36"/>
      <c r="H68" s="20"/>
      <c r="I68" s="20"/>
      <c r="J68" s="20"/>
      <c r="K68" s="29"/>
      <c r="AD68" s="13" t="b">
        <v>0</v>
      </c>
    </row>
    <row r="69" spans="1:30" ht="16.5" customHeight="1">
      <c r="A69" s="170"/>
      <c r="B69" s="171"/>
      <c r="C69" s="172"/>
      <c r="D69" s="173"/>
      <c r="E69" s="174"/>
      <c r="F69" s="175"/>
      <c r="G69" s="176"/>
      <c r="H69" s="171"/>
      <c r="I69" s="171"/>
      <c r="J69" s="171"/>
      <c r="K69" s="177"/>
      <c r="AD69" s="13" t="b">
        <v>1</v>
      </c>
    </row>
    <row r="70" spans="7:11" ht="16.5" customHeight="1">
      <c r="G70" s="178"/>
      <c r="K70" s="179"/>
    </row>
    <row r="71" spans="3:6" ht="16.5" customHeight="1">
      <c r="C71" s="180"/>
      <c r="F71" s="181"/>
    </row>
    <row r="72" spans="6:30" ht="16.5" customHeight="1">
      <c r="F72" s="181"/>
      <c r="G72" s="182"/>
      <c r="AD72" s="13" t="b">
        <v>0</v>
      </c>
    </row>
    <row r="73" ht="16.5" customHeight="1">
      <c r="G73" s="182"/>
    </row>
    <row r="74" ht="16.5" customHeight="1"/>
    <row r="75" spans="3:6" ht="16.5" customHeight="1">
      <c r="C75" s="183"/>
      <c r="E75" s="184"/>
      <c r="F75" s="181"/>
    </row>
    <row r="76" spans="5:30" ht="16.5" customHeight="1">
      <c r="E76" s="184"/>
      <c r="F76" s="181"/>
      <c r="G76" s="182"/>
      <c r="AD76" s="13" t="b">
        <v>1</v>
      </c>
    </row>
    <row r="77" spans="7:30" ht="16.5" customHeight="1">
      <c r="G77" s="182"/>
      <c r="AD77" s="13" t="b">
        <v>0</v>
      </c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</sheetData>
  <sheetProtection/>
  <protectedRanges>
    <protectedRange sqref="F49" name="Rango1"/>
  </protectedRanges>
  <mergeCells count="65">
    <mergeCell ref="I37:J37"/>
    <mergeCell ref="I60:J60"/>
    <mergeCell ref="B46:C46"/>
    <mergeCell ref="B42:C42"/>
    <mergeCell ref="B40:C40"/>
    <mergeCell ref="B38:C38"/>
    <mergeCell ref="B56:C56"/>
    <mergeCell ref="B51:C51"/>
    <mergeCell ref="B55:C55"/>
    <mergeCell ref="B54:C54"/>
    <mergeCell ref="M9:N9"/>
    <mergeCell ref="B53:C53"/>
    <mergeCell ref="B24:C24"/>
    <mergeCell ref="I26:J26"/>
    <mergeCell ref="B13:C13"/>
    <mergeCell ref="B15:C15"/>
    <mergeCell ref="B16:C16"/>
    <mergeCell ref="B31:C31"/>
    <mergeCell ref="B32:C32"/>
    <mergeCell ref="B34:C34"/>
    <mergeCell ref="E67:F67"/>
    <mergeCell ref="B60:D60"/>
    <mergeCell ref="E60:F60"/>
    <mergeCell ref="B61:C61"/>
    <mergeCell ref="B65:D65"/>
    <mergeCell ref="E65:F65"/>
    <mergeCell ref="B66:C66"/>
    <mergeCell ref="E66:F66"/>
    <mergeCell ref="I31:J31"/>
    <mergeCell ref="B35:C35"/>
    <mergeCell ref="B20:C20"/>
    <mergeCell ref="B21:C21"/>
    <mergeCell ref="B28:C28"/>
    <mergeCell ref="I17:J17"/>
    <mergeCell ref="B19:C19"/>
    <mergeCell ref="B22:C22"/>
    <mergeCell ref="B27:C27"/>
    <mergeCell ref="B49:C49"/>
    <mergeCell ref="B47:C47"/>
    <mergeCell ref="B37:C37"/>
    <mergeCell ref="B12:C12"/>
    <mergeCell ref="B18:C18"/>
    <mergeCell ref="B14:C14"/>
    <mergeCell ref="B26:C26"/>
    <mergeCell ref="N18:N19"/>
    <mergeCell ref="N20:N21"/>
    <mergeCell ref="N22:N23"/>
    <mergeCell ref="I21:J21"/>
    <mergeCell ref="M18:M23"/>
    <mergeCell ref="M25:R26"/>
    <mergeCell ref="Q30:R31"/>
    <mergeCell ref="M31:M32"/>
    <mergeCell ref="M33:M34"/>
    <mergeCell ref="M29:M30"/>
    <mergeCell ref="M28:O28"/>
    <mergeCell ref="N41:N42"/>
    <mergeCell ref="T41:T42"/>
    <mergeCell ref="I53:J53"/>
    <mergeCell ref="R41:R42"/>
    <mergeCell ref="S41:S42"/>
    <mergeCell ref="O41:O42"/>
    <mergeCell ref="Q41:Q42"/>
    <mergeCell ref="I46:J46"/>
    <mergeCell ref="P41:P42"/>
    <mergeCell ref="M41:M42"/>
  </mergeCells>
  <conditionalFormatting sqref="J13:J15">
    <cfRule type="cellIs" priority="1" dxfId="0" operator="equal" stopIfTrue="1">
      <formula>$D$18</formula>
    </cfRule>
  </conditionalFormatting>
  <conditionalFormatting sqref="J18:J19">
    <cfRule type="cellIs" priority="2" dxfId="0" operator="equal" stopIfTrue="1">
      <formula>$D$14</formula>
    </cfRule>
  </conditionalFormatting>
  <conditionalFormatting sqref="J27:J29">
    <cfRule type="cellIs" priority="3" dxfId="0" operator="equal" stopIfTrue="1">
      <formula>$D$31</formula>
    </cfRule>
  </conditionalFormatting>
  <conditionalFormatting sqref="J22:J24">
    <cfRule type="cellIs" priority="4" dxfId="0" operator="equal" stopIfTrue="1">
      <formula>$D$27</formula>
    </cfRule>
  </conditionalFormatting>
  <conditionalFormatting sqref="J32:J35">
    <cfRule type="cellIs" priority="5" dxfId="0" operator="equal" stopIfTrue="1">
      <formula>$D$35</formula>
    </cfRule>
    <cfRule type="cellIs" priority="6" dxfId="6" operator="notEqual" stopIfTrue="1">
      <formula>$D$35</formula>
    </cfRule>
  </conditionalFormatting>
  <conditionalFormatting sqref="J39">
    <cfRule type="expression" priority="7" dxfId="0" stopIfTrue="1">
      <formula>$D$31=25</formula>
    </cfRule>
  </conditionalFormatting>
  <conditionalFormatting sqref="J40">
    <cfRule type="expression" priority="8" dxfId="0" stopIfTrue="1">
      <formula>$D$31=50</formula>
    </cfRule>
  </conditionalFormatting>
  <conditionalFormatting sqref="J41">
    <cfRule type="expression" priority="9" dxfId="0" stopIfTrue="1">
      <formula>$D$31=75</formula>
    </cfRule>
  </conditionalFormatting>
  <conditionalFormatting sqref="C62">
    <cfRule type="expression" priority="10" dxfId="0" stopIfTrue="1">
      <formula>$G$62&gt;0</formula>
    </cfRule>
  </conditionalFormatting>
  <conditionalFormatting sqref="C63">
    <cfRule type="expression" priority="11" dxfId="0" stopIfTrue="1">
      <formula>$G$63&gt;0</formula>
    </cfRule>
  </conditionalFormatting>
  <conditionalFormatting sqref="J47:J48">
    <cfRule type="cellIs" priority="12" dxfId="0" operator="equal" stopIfTrue="1">
      <formula>$D$47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4"/>
  <ignoredErrors>
    <ignoredError sqref="D14:D15 D31:D32 F62 D34:D35" unlockedFormula="1"/>
  </ignoredErrors>
  <drawing r:id="rId3"/>
  <legacyDrawing r:id="rId2"/>
  <oleObjects>
    <oleObject progId="Equation.3" shapeId="2402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3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77.57421875" style="0" customWidth="1"/>
  </cols>
  <sheetData>
    <row r="1" spans="1:8" ht="89.25" customHeight="1">
      <c r="A1" s="4"/>
      <c r="B1" s="1"/>
      <c r="C1" s="1"/>
      <c r="D1" s="1"/>
      <c r="E1" s="1"/>
      <c r="F1" s="1"/>
      <c r="G1" s="1"/>
      <c r="H1" s="1"/>
    </row>
    <row r="2" spans="1:15" s="3" customFormat="1" ht="12.75">
      <c r="A2" s="5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2.75">
      <c r="A4" s="6" t="s">
        <v>125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ht="12.75">
      <c r="A5" s="6" t="s">
        <v>131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12.75">
      <c r="A6" s="6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12.75">
      <c r="A7" s="6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12.75">
      <c r="A8" s="6" t="s">
        <v>126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12.75">
      <c r="A9" s="6" t="s">
        <v>134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8.5" customHeight="1">
      <c r="A10" s="6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28.5" customHeight="1">
      <c r="A11" s="6" t="s">
        <v>136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28.5" customHeight="1">
      <c r="A12" s="6" t="s">
        <v>137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28.5" customHeight="1">
      <c r="A13" s="6" t="s">
        <v>138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28.5" customHeight="1">
      <c r="A14" s="6" t="s">
        <v>139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42.75" customHeight="1">
      <c r="A15" s="6" t="s">
        <v>140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28.5" customHeight="1">
      <c r="A16" s="6" t="s">
        <v>141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3" customFormat="1" ht="12.7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3" customFormat="1" ht="12.75">
      <c r="A18" s="6" t="s">
        <v>127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3" customFormat="1" ht="12.75">
      <c r="A19" s="6" t="s">
        <v>142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3" customFormat="1" ht="28.5" customHeight="1">
      <c r="A20" s="6" t="s">
        <v>143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3" customFormat="1" ht="12.75">
      <c r="A21" s="6" t="s">
        <v>144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3" customFormat="1" ht="12.75">
      <c r="A22" s="6" t="s">
        <v>145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3" customFormat="1" ht="12.75">
      <c r="A23" s="6" t="s">
        <v>146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3" customFormat="1" ht="12.75">
      <c r="A24" s="7" t="s">
        <v>152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ht="12.75">
      <c r="A25" s="6" t="s">
        <v>147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ht="12.75">
      <c r="A26" s="6" t="s">
        <v>148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12.75">
      <c r="A27" s="6" t="s">
        <v>149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3" customFormat="1" ht="28.5" customHeight="1">
      <c r="A28" s="6" t="s">
        <v>150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28.5" customHeight="1">
      <c r="A29" s="6" t="s">
        <v>151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ht="12.7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pcoello</cp:lastModifiedBy>
  <cp:lastPrinted>2008-09-11T08:22:36Z</cp:lastPrinted>
  <dcterms:created xsi:type="dcterms:W3CDTF">2006-04-04T09:19:27Z</dcterms:created>
  <dcterms:modified xsi:type="dcterms:W3CDTF">2014-07-04T06:55:44Z</dcterms:modified>
  <cp:category/>
  <cp:version/>
  <cp:contentType/>
  <cp:contentStatus/>
</cp:coreProperties>
</file>