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activeTab="0"/>
  </bookViews>
  <sheets>
    <sheet name="Remolacha desc+arr" sheetId="1" r:id="rId1"/>
    <sheet name="Metodología" sheetId="2" r:id="rId2"/>
  </sheets>
  <definedNames>
    <definedName name="_xlnm.Print_Area" localSheetId="1">'Metodología'!$A$1:$A$33</definedName>
    <definedName name="_xlnm.Print_Area" localSheetId="0">'Remolacha desc+arr'!$A$1:$K$67</definedName>
  </definedNames>
  <calcPr fullCalcOnLoad="1"/>
</workbook>
</file>

<file path=xl/sharedStrings.xml><?xml version="1.0" encoding="utf-8"?>
<sst xmlns="http://schemas.openxmlformats.org/spreadsheetml/2006/main" count="184" uniqueCount="138">
  <si>
    <t>OPERACIÓN:</t>
  </si>
  <si>
    <t>AUXILIAR</t>
  </si>
  <si>
    <t xml:space="preserve">APERO: </t>
  </si>
  <si>
    <t>Número de líneas</t>
  </si>
  <si>
    <t>ud</t>
  </si>
  <si>
    <t>Eficiencia de trabajo</t>
  </si>
  <si>
    <t>Separación entre líneas</t>
  </si>
  <si>
    <t>m</t>
  </si>
  <si>
    <t>Baja</t>
  </si>
  <si>
    <t>ASAE potato harvester</t>
  </si>
  <si>
    <t>Pot (kW/m)</t>
  </si>
  <si>
    <t>añadir F(kN/m)</t>
  </si>
  <si>
    <t>v (km/h)</t>
  </si>
  <si>
    <t>P(kW/m)</t>
  </si>
  <si>
    <t>Anchura de trabajo</t>
  </si>
  <si>
    <t>Media</t>
  </si>
  <si>
    <t>Velocidad de trabajo</t>
  </si>
  <si>
    <t>km/h</t>
  </si>
  <si>
    <t>Alta</t>
  </si>
  <si>
    <t>Nivel de carga de trabajo (%)</t>
  </si>
  <si>
    <t>Bajo</t>
  </si>
  <si>
    <t>Medio</t>
  </si>
  <si>
    <t>RESULTADOS MAPA</t>
  </si>
  <si>
    <t>Alto</t>
  </si>
  <si>
    <t>consumos</t>
  </si>
  <si>
    <t>kW</t>
  </si>
  <si>
    <t>cap.trab. alta</t>
  </si>
  <si>
    <t>25 L/ha</t>
  </si>
  <si>
    <t>CV</t>
  </si>
  <si>
    <t>Nivel potencia tractor (CV)</t>
  </si>
  <si>
    <t>cap.trab. normal</t>
  </si>
  <si>
    <t>33 L/ha</t>
  </si>
  <si>
    <t>Pequeño</t>
  </si>
  <si>
    <t>Mediano</t>
  </si>
  <si>
    <t>Hipótesis tractor auxiliar</t>
  </si>
  <si>
    <t>Capacidad trabajo teórica</t>
  </si>
  <si>
    <t>h/ha</t>
  </si>
  <si>
    <t>Grande</t>
  </si>
  <si>
    <t>Potencia tractor escogido</t>
  </si>
  <si>
    <t>Eficiencia</t>
  </si>
  <si>
    <t>Muy grande</t>
  </si>
  <si>
    <t>Costes horarios tractor auxiliar  (€/h)</t>
  </si>
  <si>
    <t>Capacidad trabajo real</t>
  </si>
  <si>
    <t>Precio adquis.</t>
  </si>
  <si>
    <t>€/kW</t>
  </si>
  <si>
    <t>ha/h</t>
  </si>
  <si>
    <t>Consumo combustible</t>
  </si>
  <si>
    <t>€</t>
  </si>
  <si>
    <t>h/año</t>
  </si>
  <si>
    <t>€/h s/comb.</t>
  </si>
  <si>
    <t>Carga</t>
  </si>
  <si>
    <t>Factor (L/h-kW)</t>
  </si>
  <si>
    <t>Amortización</t>
  </si>
  <si>
    <t>horas</t>
  </si>
  <si>
    <t>Nivel de carga del tractor</t>
  </si>
  <si>
    <t>%</t>
  </si>
  <si>
    <t>años</t>
  </si>
  <si>
    <t>Potencia tractor necesaria</t>
  </si>
  <si>
    <t>Tasa interés</t>
  </si>
  <si>
    <t>Seguros</t>
  </si>
  <si>
    <t>Tipo de tractor escogido</t>
  </si>
  <si>
    <t>Resguardo</t>
  </si>
  <si>
    <t>Mant.-Reparac</t>
  </si>
  <si>
    <t>€/L</t>
  </si>
  <si>
    <t>Cons.carga media</t>
  </si>
  <si>
    <t>L/h-kW</t>
  </si>
  <si>
    <t>COSTES DE UTILIZACIÓN</t>
  </si>
  <si>
    <t>Consumo de combustible</t>
  </si>
  <si>
    <t>L/h</t>
  </si>
  <si>
    <t>L/ha</t>
  </si>
  <si>
    <t>pot tractor CV</t>
  </si>
  <si>
    <t>nivel carga %</t>
  </si>
  <si>
    <t>pot utilizada</t>
  </si>
  <si>
    <t>P barra i/rod+desliz</t>
  </si>
  <si>
    <t>pot req. (kW/m)</t>
  </si>
  <si>
    <t>anchura max (m)</t>
  </si>
  <si>
    <t>Consumo de aceite</t>
  </si>
  <si>
    <t>Coste gasóleo</t>
  </si>
  <si>
    <t>Coste combustible</t>
  </si>
  <si>
    <t>€/h</t>
  </si>
  <si>
    <t>€/ha</t>
  </si>
  <si>
    <t>Utilización apero (h/año)</t>
  </si>
  <si>
    <t>COSTES DE POSESIÓN</t>
  </si>
  <si>
    <t>Horas trabajo anuales</t>
  </si>
  <si>
    <t>amort. - desgaste</t>
  </si>
  <si>
    <t>h</t>
  </si>
  <si>
    <t>amort. - obsolescencia</t>
  </si>
  <si>
    <t>interés</t>
  </si>
  <si>
    <t>seguros</t>
  </si>
  <si>
    <t>% PA</t>
  </si>
  <si>
    <t>resguardo</t>
  </si>
  <si>
    <t>mantenim-reparaciones</t>
  </si>
  <si>
    <t>Coste total</t>
  </si>
  <si>
    <t>Tractor auxiliar</t>
  </si>
  <si>
    <t xml:space="preserve"> +combustible</t>
  </si>
  <si>
    <t>Utilización anual</t>
  </si>
  <si>
    <t>€/h s/comb</t>
  </si>
  <si>
    <t>Baja (500 h/año)</t>
  </si>
  <si>
    <t>Alta (1.000 h/año)</t>
  </si>
  <si>
    <t>Tractor + Apero</t>
  </si>
  <si>
    <t>ha/año</t>
  </si>
  <si>
    <t>Los datos de partida de esta operación son los siguientes:</t>
  </si>
  <si>
    <t>Las hipótesis establecidas para el cálculo de los costes son las siguientes:</t>
  </si>
  <si>
    <t>Precio adquisición tractor</t>
  </si>
  <si>
    <t xml:space="preserve"> €/kW de potencia</t>
  </si>
  <si>
    <t>-          Anchura de trabajo: Se calcula a partir de los valores anteriores</t>
  </si>
  <si>
    <t>-          Potencia del tractor escogido: Es la potencia del tractor seleccionado por el usuario en función de los resultados obtenidos.</t>
  </si>
  <si>
    <t xml:space="preserve">-          Amortización por desgaste: 2.000 h 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</si>
  <si>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</si>
  <si>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</si>
  <si>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</si>
  <si>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Utilización anual tractor auxiliar: Se han estimado dos rangos diferentes de trabajo, 500 y 1.000 h/año.</t>
  </si>
  <si>
    <t>-          Utilización anual apero: En función de las horas de trabajo anuales elegidas y de la capacidad de trabajo se obtiene la superficie anual trabajada por el apero en ha/año.</t>
  </si>
  <si>
    <t>-          Coste de combustible: 1,00 €/L</t>
  </si>
  <si>
    <t>Recolección de remolacha (equipos descompuestos)</t>
  </si>
  <si>
    <t>Decoronadora y/o arrancadora de remolacha</t>
  </si>
  <si>
    <t>Arrancadora</t>
  </si>
  <si>
    <t xml:space="preserve">                                   si / no</t>
  </si>
  <si>
    <t>Potencia min. aconsejada</t>
  </si>
  <si>
    <t xml:space="preserve">    Arrancadora</t>
  </si>
  <si>
    <t xml:space="preserve">    Decoronadora</t>
  </si>
  <si>
    <t>desc.</t>
  </si>
  <si>
    <t>Precio adquisición (total)</t>
  </si>
  <si>
    <t>Adqusición (€)</t>
  </si>
  <si>
    <t>Descoronadora</t>
  </si>
  <si>
    <t>Mantenimiento y rep. (€/ha)</t>
  </si>
  <si>
    <t>Equipos descompuestos para la recolección de remolacha (descoronadora y arrancadora)</t>
  </si>
  <si>
    <t>-          Número de líneas: 6</t>
  </si>
  <si>
    <t>-          Separación entre líneas: 0,5 m</t>
  </si>
  <si>
    <t>-          Velocidad de trabajo: Es un valor tomado de las velocidades recomendadas de trabajo; se puede modificar con el cursor</t>
  </si>
  <si>
    <t>-          Nivel de carga del tractor: Bajo, medio o alto (se recomienda poner un nivel alto para esta operación)</t>
  </si>
  <si>
    <t>-          Horas de trabajo anuales: Se han estimado dos rangos diferentes de utilización del apero al año, baja (200 h/año) y alta (400 h/año)</t>
  </si>
  <si>
    <t>-          Mantenimiento y reparaciones: 9 €/ha para la descoronadora y 12 €/ha para la arrancadora</t>
  </si>
  <si>
    <t>-          Eficiencia de la operación: Baja, media o alta. Conviene modificarla en función de la producción.</t>
  </si>
  <si>
    <t xml:space="preserve">-          Potencia mínima necesaria: 40 kW para la descoronadora; 40 kW para la arrancadora; 800 kW para la descoronadora-arrancadora combinada (engances frontal y posterior) </t>
  </si>
  <si>
    <t>-         Se puede elgir entre la descoronadora, la arrancadora y el conjunto descoronadora-arrancadora integrado en el mismo tractor (minimio 150 CV y enganche frontal)</t>
  </si>
  <si>
    <t>-          Precio de adquisición: Estimado en 16.000 € para la descoronadora y 30.000 para la arrancadora</t>
  </si>
  <si>
    <t>-          Interés: 5 %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</si>
</sst>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#,##0.000"/>
    <numFmt numFmtId="175" formatCode="#,##0.0000"/>
    <numFmt numFmtId="176" formatCode="#,##0.00000"/>
    <numFmt numFmtId="177" formatCode="#,##0.00_ ;\-#,##0.00\ "/>
    <numFmt numFmtId="178" formatCode="_-* #,##0.0\ _€_-;\-* #,##0.0\ _€_-;_-* &quot;-&quot;??\ _€_-;_-@_-"/>
    <numFmt numFmtId="179" formatCode="_-* #,##0\ _€_-;\-* #,##0\ _€_-;_-* &quot;-&quot;??\ _€_-;_-@_-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22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9"/>
      <name val="Arial"/>
      <family val="2"/>
    </font>
    <font>
      <b/>
      <sz val="11"/>
      <color indexed="22"/>
      <name val="Arial"/>
      <family val="2"/>
    </font>
    <font>
      <b/>
      <sz val="11"/>
      <color indexed="10"/>
      <name val="Arial"/>
      <family val="2"/>
    </font>
    <font>
      <sz val="11"/>
      <color indexed="42"/>
      <name val="Arial"/>
      <family val="2"/>
    </font>
    <font>
      <b/>
      <sz val="11"/>
      <color indexed="42"/>
      <name val="Arial"/>
      <family val="2"/>
    </font>
    <font>
      <b/>
      <sz val="11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49" fontId="6" fillId="34" borderId="0" xfId="0" applyNumberFormat="1" applyFont="1" applyFill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 applyProtection="1">
      <alignment/>
      <protection hidden="1" locked="0"/>
    </xf>
    <xf numFmtId="0" fontId="7" fillId="34" borderId="1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8" fillId="34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33" borderId="11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4" borderId="0" xfId="0" applyFont="1" applyFill="1" applyBorder="1" applyAlignment="1" applyProtection="1">
      <alignment/>
      <protection locked="0"/>
    </xf>
    <xf numFmtId="0" fontId="7" fillId="34" borderId="1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7" fontId="7" fillId="33" borderId="0" xfId="51" applyNumberFormat="1" applyFont="1" applyFill="1" applyBorder="1" applyAlignment="1" applyProtection="1">
      <alignment horizontal="center"/>
      <protection hidden="1"/>
    </xf>
    <xf numFmtId="164" fontId="11" fillId="0" borderId="16" xfId="0" applyNumberFormat="1" applyFont="1" applyBorder="1" applyAlignment="1">
      <alignment horizontal="center"/>
    </xf>
    <xf numFmtId="164" fontId="11" fillId="0" borderId="15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center"/>
      <protection hidden="1" locked="0"/>
    </xf>
    <xf numFmtId="0" fontId="14" fillId="33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" fontId="7" fillId="33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locked="0"/>
    </xf>
    <xf numFmtId="3" fontId="7" fillId="33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>
      <alignment/>
    </xf>
    <xf numFmtId="0" fontId="14" fillId="33" borderId="14" xfId="0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164" fontId="7" fillId="33" borderId="0" xfId="0" applyNumberFormat="1" applyFont="1" applyFill="1" applyBorder="1" applyAlignment="1" applyProtection="1">
      <alignment horizontal="center"/>
      <protection hidden="1"/>
    </xf>
    <xf numFmtId="0" fontId="15" fillId="33" borderId="13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2" fontId="7" fillId="33" borderId="0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16" fillId="33" borderId="13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2" fontId="11" fillId="33" borderId="0" xfId="0" applyNumberFormat="1" applyFont="1" applyFill="1" applyBorder="1" applyAlignment="1" applyProtection="1">
      <alignment horizontal="center"/>
      <protection hidden="1"/>
    </xf>
    <xf numFmtId="0" fontId="16" fillId="33" borderId="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33" borderId="1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3" fontId="13" fillId="0" borderId="15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165" fontId="7" fillId="0" borderId="15" xfId="0" applyNumberFormat="1" applyFont="1" applyFill="1" applyBorder="1" applyAlignment="1" applyProtection="1">
      <alignment horizontal="center"/>
      <protection/>
    </xf>
    <xf numFmtId="0" fontId="13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13" fillId="0" borderId="15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Border="1" applyAlignment="1">
      <alignment horizontal="center"/>
    </xf>
    <xf numFmtId="0" fontId="7" fillId="33" borderId="17" xfId="0" applyFont="1" applyFill="1" applyBorder="1" applyAlignment="1" applyProtection="1">
      <alignment horizontal="center"/>
      <protection hidden="1"/>
    </xf>
    <xf numFmtId="0" fontId="8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7" fillId="0" borderId="15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 hidden="1"/>
    </xf>
    <xf numFmtId="165" fontId="7" fillId="0" borderId="15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/>
      <protection/>
    </xf>
    <xf numFmtId="0" fontId="7" fillId="35" borderId="11" xfId="0" applyFont="1" applyFill="1" applyBorder="1" applyAlignment="1" applyProtection="1">
      <alignment horizontal="center"/>
      <protection hidden="1"/>
    </xf>
    <xf numFmtId="0" fontId="7" fillId="35" borderId="1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>
      <alignment/>
    </xf>
    <xf numFmtId="165" fontId="7" fillId="33" borderId="0" xfId="0" applyNumberFormat="1" applyFont="1" applyFill="1" applyBorder="1" applyAlignment="1" applyProtection="1">
      <alignment horizontal="center"/>
      <protection hidden="1"/>
    </xf>
    <xf numFmtId="0" fontId="17" fillId="34" borderId="0" xfId="0" applyFont="1" applyFill="1" applyAlignment="1">
      <alignment/>
    </xf>
    <xf numFmtId="2" fontId="7" fillId="0" borderId="0" xfId="0" applyNumberFormat="1" applyFont="1" applyAlignment="1">
      <alignment/>
    </xf>
    <xf numFmtId="0" fontId="11" fillId="36" borderId="19" xfId="0" applyFont="1" applyFill="1" applyBorder="1" applyAlignment="1">
      <alignment horizontal="center"/>
    </xf>
    <xf numFmtId="0" fontId="11" fillId="0" borderId="20" xfId="0" applyFont="1" applyBorder="1" applyAlignment="1" applyProtection="1">
      <alignment horizontal="center"/>
      <protection hidden="1"/>
    </xf>
    <xf numFmtId="164" fontId="11" fillId="0" borderId="20" xfId="0" applyNumberFormat="1" applyFont="1" applyBorder="1" applyAlignment="1" applyProtection="1">
      <alignment horizontal="center"/>
      <protection hidden="1"/>
    </xf>
    <xf numFmtId="2" fontId="11" fillId="0" borderId="20" xfId="0" applyNumberFormat="1" applyFont="1" applyBorder="1" applyAlignment="1" applyProtection="1">
      <alignment horizontal="center"/>
      <protection hidden="1"/>
    </xf>
    <xf numFmtId="2" fontId="11" fillId="0" borderId="21" xfId="0" applyNumberFormat="1" applyFont="1" applyBorder="1" applyAlignment="1" applyProtection="1">
      <alignment horizontal="center"/>
      <protection hidden="1"/>
    </xf>
    <xf numFmtId="2" fontId="13" fillId="33" borderId="22" xfId="0" applyNumberFormat="1" applyFont="1" applyFill="1" applyBorder="1" applyAlignment="1" applyProtection="1">
      <alignment horizontal="center"/>
      <protection hidden="1" locked="0"/>
    </xf>
    <xf numFmtId="0" fontId="8" fillId="33" borderId="23" xfId="0" applyFont="1" applyFill="1" applyBorder="1" applyAlignment="1">
      <alignment horizontal="center"/>
    </xf>
    <xf numFmtId="164" fontId="13" fillId="33" borderId="15" xfId="0" applyNumberFormat="1" applyFont="1" applyFill="1" applyBorder="1" applyAlignment="1" applyProtection="1">
      <alignment horizontal="center"/>
      <protection locked="0"/>
    </xf>
    <xf numFmtId="0" fontId="7" fillId="36" borderId="24" xfId="0" applyFont="1" applyFill="1" applyBorder="1" applyAlignment="1">
      <alignment horizontal="center"/>
    </xf>
    <xf numFmtId="164" fontId="7" fillId="0" borderId="15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5" xfId="0" applyNumberFormat="1" applyFont="1" applyBorder="1" applyAlignment="1" applyProtection="1">
      <alignment horizontal="center"/>
      <protection hidden="1"/>
    </xf>
    <xf numFmtId="164" fontId="11" fillId="33" borderId="0" xfId="0" applyNumberFormat="1" applyFont="1" applyFill="1" applyBorder="1" applyAlignment="1" applyProtection="1">
      <alignment horizontal="center"/>
      <protection hidden="1"/>
    </xf>
    <xf numFmtId="0" fontId="16" fillId="33" borderId="14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0" fontId="7" fillId="0" borderId="27" xfId="0" applyFont="1" applyBorder="1" applyAlignment="1" applyProtection="1">
      <alignment horizontal="center"/>
      <protection hidden="1"/>
    </xf>
    <xf numFmtId="164" fontId="7" fillId="0" borderId="27" xfId="0" applyNumberFormat="1" applyFont="1" applyBorder="1" applyAlignment="1" applyProtection="1">
      <alignment horizontal="center"/>
      <protection hidden="1"/>
    </xf>
    <xf numFmtId="2" fontId="7" fillId="0" borderId="27" xfId="0" applyNumberFormat="1" applyFont="1" applyBorder="1" applyAlignment="1" applyProtection="1">
      <alignment horizontal="center"/>
      <protection hidden="1"/>
    </xf>
    <xf numFmtId="2" fontId="7" fillId="0" borderId="28" xfId="0" applyNumberFormat="1" applyFont="1" applyBorder="1" applyAlignment="1" applyProtection="1">
      <alignment horizontal="center"/>
      <protection hidden="1"/>
    </xf>
    <xf numFmtId="0" fontId="16" fillId="33" borderId="29" xfId="0" applyFont="1" applyFill="1" applyBorder="1" applyAlignment="1">
      <alignment horizontal="left"/>
    </xf>
    <xf numFmtId="0" fontId="16" fillId="33" borderId="17" xfId="0" applyFont="1" applyFill="1" applyBorder="1" applyAlignment="1">
      <alignment horizontal="left"/>
    </xf>
    <xf numFmtId="164" fontId="11" fillId="33" borderId="17" xfId="0" applyNumberFormat="1" applyFont="1" applyFill="1" applyBorder="1" applyAlignment="1" applyProtection="1">
      <alignment horizontal="center"/>
      <protection hidden="1"/>
    </xf>
    <xf numFmtId="0" fontId="16" fillId="33" borderId="18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7" fillId="34" borderId="0" xfId="0" applyFont="1" applyFill="1" applyBorder="1" applyAlignment="1" applyProtection="1">
      <alignment/>
      <protection locked="0"/>
    </xf>
    <xf numFmtId="165" fontId="7" fillId="34" borderId="14" xfId="0" applyNumberFormat="1" applyFont="1" applyFill="1" applyBorder="1" applyAlignment="1" applyProtection="1">
      <alignment horizontal="center"/>
      <protection/>
    </xf>
    <xf numFmtId="0" fontId="7" fillId="34" borderId="24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4" borderId="26" xfId="0" applyFont="1" applyFill="1" applyBorder="1" applyAlignment="1">
      <alignment horizontal="center"/>
    </xf>
    <xf numFmtId="3" fontId="13" fillId="0" borderId="15" xfId="0" applyNumberFormat="1" applyFont="1" applyFill="1" applyBorder="1" applyAlignment="1" applyProtection="1">
      <alignment horizontal="center"/>
      <protection locked="0"/>
    </xf>
    <xf numFmtId="0" fontId="11" fillId="37" borderId="30" xfId="0" applyFont="1" applyFill="1" applyBorder="1" applyAlignment="1">
      <alignment horizontal="center"/>
    </xf>
    <xf numFmtId="0" fontId="11" fillId="0" borderId="31" xfId="0" applyFont="1" applyBorder="1" applyAlignment="1" applyProtection="1">
      <alignment horizontal="center"/>
      <protection hidden="1"/>
    </xf>
    <xf numFmtId="164" fontId="11" fillId="0" borderId="31" xfId="0" applyNumberFormat="1" applyFont="1" applyBorder="1" applyAlignment="1" applyProtection="1">
      <alignment horizontal="center"/>
      <protection hidden="1"/>
    </xf>
    <xf numFmtId="2" fontId="11" fillId="0" borderId="32" xfId="0" applyNumberFormat="1" applyFont="1" applyBorder="1" applyAlignment="1" applyProtection="1">
      <alignment horizontal="center"/>
      <protection hidden="1"/>
    </xf>
    <xf numFmtId="0" fontId="14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0" fontId="7" fillId="37" borderId="24" xfId="0" applyFont="1" applyFill="1" applyBorder="1" applyAlignment="1">
      <alignment horizontal="center"/>
    </xf>
    <xf numFmtId="3" fontId="7" fillId="33" borderId="0" xfId="0" applyNumberFormat="1" applyFont="1" applyFill="1" applyBorder="1" applyAlignment="1" applyProtection="1">
      <alignment horizontal="center"/>
      <protection hidden="1" locked="0"/>
    </xf>
    <xf numFmtId="0" fontId="17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0" fontId="7" fillId="37" borderId="33" xfId="0" applyFont="1" applyFill="1" applyBorder="1" applyAlignment="1">
      <alignment horizontal="center"/>
    </xf>
    <xf numFmtId="0" fontId="7" fillId="0" borderId="34" xfId="0" applyFont="1" applyBorder="1" applyAlignment="1" applyProtection="1">
      <alignment horizontal="center"/>
      <protection hidden="1"/>
    </xf>
    <xf numFmtId="164" fontId="7" fillId="0" borderId="34" xfId="0" applyNumberFormat="1" applyFont="1" applyBorder="1" applyAlignment="1" applyProtection="1">
      <alignment horizontal="center"/>
      <protection hidden="1"/>
    </xf>
    <xf numFmtId="2" fontId="7" fillId="0" borderId="35" xfId="0" applyNumberFormat="1" applyFont="1" applyBorder="1" applyAlignment="1" applyProtection="1">
      <alignment horizontal="center"/>
      <protection hidden="1"/>
    </xf>
    <xf numFmtId="0" fontId="11" fillId="38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3" fontId="13" fillId="33" borderId="0" xfId="0" applyNumberFormat="1" applyFont="1" applyFill="1" applyBorder="1" applyAlignment="1" applyProtection="1">
      <alignment horizontal="center"/>
      <protection hidden="1" locked="0"/>
    </xf>
    <xf numFmtId="0" fontId="8" fillId="33" borderId="14" xfId="0" applyFont="1" applyFill="1" applyBorder="1" applyAlignment="1">
      <alignment/>
    </xf>
    <xf numFmtId="3" fontId="7" fillId="34" borderId="14" xfId="0" applyNumberFormat="1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8" fillId="0" borderId="15" xfId="0" applyNumberFormat="1" applyFont="1" applyFill="1" applyBorder="1" applyAlignment="1" applyProtection="1">
      <alignment horizontal="center"/>
      <protection hidden="1"/>
    </xf>
    <xf numFmtId="1" fontId="8" fillId="0" borderId="15" xfId="0" applyNumberFormat="1" applyFont="1" applyFill="1" applyBorder="1" applyAlignment="1" applyProtection="1">
      <alignment horizontal="center"/>
      <protection hidden="1"/>
    </xf>
    <xf numFmtId="0" fontId="8" fillId="34" borderId="14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 horizontal="center"/>
    </xf>
    <xf numFmtId="164" fontId="13" fillId="33" borderId="22" xfId="0" applyNumberFormat="1" applyFont="1" applyFill="1" applyBorder="1" applyAlignment="1" applyProtection="1">
      <alignment horizontal="center"/>
      <protection hidden="1" locked="0"/>
    </xf>
    <xf numFmtId="0" fontId="8" fillId="33" borderId="22" xfId="0" applyFont="1" applyFill="1" applyBorder="1" applyAlignment="1">
      <alignment horizontal="center"/>
    </xf>
    <xf numFmtId="2" fontId="7" fillId="33" borderId="22" xfId="0" applyNumberFormat="1" applyFont="1" applyFill="1" applyBorder="1" applyAlignment="1" applyProtection="1">
      <alignment horizontal="center"/>
      <protection hidden="1"/>
    </xf>
    <xf numFmtId="0" fontId="8" fillId="33" borderId="23" xfId="0" applyFont="1" applyFill="1" applyBorder="1" applyAlignment="1">
      <alignment/>
    </xf>
    <xf numFmtId="1" fontId="8" fillId="34" borderId="14" xfId="0" applyNumberFormat="1" applyFont="1" applyFill="1" applyBorder="1" applyAlignment="1">
      <alignment horizontal="center"/>
    </xf>
    <xf numFmtId="0" fontId="7" fillId="33" borderId="29" xfId="0" applyFont="1" applyFill="1" applyBorder="1" applyAlignment="1">
      <alignment/>
    </xf>
    <xf numFmtId="0" fontId="8" fillId="33" borderId="17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center"/>
    </xf>
    <xf numFmtId="2" fontId="16" fillId="33" borderId="17" xfId="0" applyNumberFormat="1" applyFont="1" applyFill="1" applyBorder="1" applyAlignment="1">
      <alignment horizontal="center"/>
    </xf>
    <xf numFmtId="0" fontId="16" fillId="33" borderId="18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 applyProtection="1">
      <alignment horizontal="center" vertical="center"/>
      <protection hidden="1"/>
    </xf>
    <xf numFmtId="2" fontId="8" fillId="33" borderId="15" xfId="0" applyNumberFormat="1" applyFont="1" applyFill="1" applyBorder="1" applyAlignment="1" applyProtection="1">
      <alignment horizontal="center"/>
      <protection hidden="1"/>
    </xf>
    <xf numFmtId="2" fontId="8" fillId="33" borderId="15" xfId="0" applyNumberFormat="1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/>
      <protection hidden="1"/>
    </xf>
    <xf numFmtId="0" fontId="12" fillId="0" borderId="15" xfId="0" applyFont="1" applyBorder="1" applyAlignment="1" applyProtection="1">
      <alignment horizontal="center"/>
      <protection locked="0"/>
    </xf>
    <xf numFmtId="0" fontId="8" fillId="34" borderId="0" xfId="0" applyFont="1" applyFill="1" applyBorder="1" applyAlignment="1">
      <alignment horizontal="right"/>
    </xf>
    <xf numFmtId="2" fontId="11" fillId="34" borderId="0" xfId="0" applyNumberFormat="1" applyFont="1" applyFill="1" applyBorder="1" applyAlignment="1">
      <alignment vertical="center"/>
    </xf>
    <xf numFmtId="0" fontId="16" fillId="34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16" fillId="34" borderId="0" xfId="0" applyFont="1" applyFill="1" applyBorder="1" applyAlignment="1">
      <alignment horizontal="right"/>
    </xf>
    <xf numFmtId="2" fontId="11" fillId="34" borderId="0" xfId="0" applyNumberFormat="1" applyFont="1" applyFill="1" applyBorder="1" applyAlignment="1">
      <alignment horizontal="center"/>
    </xf>
    <xf numFmtId="0" fontId="7" fillId="34" borderId="29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17" xfId="0" applyFont="1" applyFill="1" applyBorder="1" applyAlignment="1">
      <alignment horizontal="center"/>
    </xf>
    <xf numFmtId="2" fontId="11" fillId="34" borderId="17" xfId="0" applyNumberFormat="1" applyFont="1" applyFill="1" applyBorder="1" applyAlignment="1">
      <alignment horizontal="center"/>
    </xf>
    <xf numFmtId="0" fontId="16" fillId="34" borderId="17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6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6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 applyProtection="1">
      <alignment horizontal="center"/>
      <protection hidden="1"/>
    </xf>
    <xf numFmtId="0" fontId="8" fillId="0" borderId="1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0" borderId="34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19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8" fillId="33" borderId="38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38" xfId="0" applyFont="1" applyFill="1" applyBorder="1" applyAlignment="1">
      <alignment horizontal="right"/>
    </xf>
    <xf numFmtId="0" fontId="8" fillId="33" borderId="22" xfId="0" applyFont="1" applyFill="1" applyBorder="1" applyAlignment="1">
      <alignment horizontal="right"/>
    </xf>
    <xf numFmtId="0" fontId="8" fillId="38" borderId="15" xfId="0" applyFont="1" applyFill="1" applyBorder="1" applyAlignment="1">
      <alignment horizontal="left"/>
    </xf>
    <xf numFmtId="0" fontId="19" fillId="39" borderId="15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left"/>
    </xf>
    <xf numFmtId="0" fontId="19" fillId="39" borderId="16" xfId="0" applyFont="1" applyFill="1" applyBorder="1" applyAlignment="1">
      <alignment horizontal="center"/>
    </xf>
    <xf numFmtId="0" fontId="19" fillId="39" borderId="37" xfId="0" applyFont="1" applyFill="1" applyBorder="1" applyAlignment="1">
      <alignment horizontal="center"/>
    </xf>
    <xf numFmtId="2" fontId="19" fillId="39" borderId="16" xfId="0" applyNumberFormat="1" applyFont="1" applyFill="1" applyBorder="1" applyAlignment="1" applyProtection="1">
      <alignment horizontal="center" vertical="center"/>
      <protection hidden="1"/>
    </xf>
    <xf numFmtId="2" fontId="19" fillId="39" borderId="37" xfId="0" applyNumberFormat="1" applyFont="1" applyFill="1" applyBorder="1" applyAlignment="1" applyProtection="1">
      <alignment horizontal="center" vertical="center"/>
      <protection hidden="1"/>
    </xf>
    <xf numFmtId="0" fontId="7" fillId="34" borderId="31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12" fillId="33" borderId="13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8" fillId="0" borderId="16" xfId="0" applyFont="1" applyFill="1" applyBorder="1" applyAlignment="1" applyProtection="1">
      <alignment horizontal="center"/>
      <protection hidden="1"/>
    </xf>
    <xf numFmtId="0" fontId="8" fillId="0" borderId="37" xfId="0" applyFont="1" applyFill="1" applyBorder="1" applyAlignment="1" applyProtection="1">
      <alignment horizontal="center"/>
      <protection hidden="1"/>
    </xf>
    <xf numFmtId="0" fontId="7" fillId="0" borderId="15" xfId="0" applyFont="1" applyFill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15.emf" /><Relationship Id="rId5" Type="http://schemas.openxmlformats.org/officeDocument/2006/relationships/image" Target="../media/image4.emf" /><Relationship Id="rId6" Type="http://schemas.openxmlformats.org/officeDocument/2006/relationships/image" Target="../media/image14.emf" /><Relationship Id="rId7" Type="http://schemas.openxmlformats.org/officeDocument/2006/relationships/image" Target="../media/image19.emf" /><Relationship Id="rId8" Type="http://schemas.openxmlformats.org/officeDocument/2006/relationships/image" Target="../media/image3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2.emf" /><Relationship Id="rId12" Type="http://schemas.openxmlformats.org/officeDocument/2006/relationships/image" Target="../media/image16.emf" /><Relationship Id="rId13" Type="http://schemas.openxmlformats.org/officeDocument/2006/relationships/image" Target="../media/image13.emf" /><Relationship Id="rId14" Type="http://schemas.openxmlformats.org/officeDocument/2006/relationships/image" Target="../media/image12.emf" /><Relationship Id="rId15" Type="http://schemas.openxmlformats.org/officeDocument/2006/relationships/image" Target="../media/image1.emf" /><Relationship Id="rId16" Type="http://schemas.openxmlformats.org/officeDocument/2006/relationships/image" Target="../media/image18.emf" /><Relationship Id="rId17" Type="http://schemas.openxmlformats.org/officeDocument/2006/relationships/image" Target="../media/image17.emf" /><Relationship Id="rId18" Type="http://schemas.openxmlformats.org/officeDocument/2006/relationships/image" Target="../media/image9.emf" /><Relationship Id="rId19" Type="http://schemas.openxmlformats.org/officeDocument/2006/relationships/image" Target="../media/image5.emf" /><Relationship Id="rId20" Type="http://schemas.openxmlformats.org/officeDocument/2006/relationships/image" Target="../media/image2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6</xdr:row>
      <xdr:rowOff>9525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11</xdr:row>
      <xdr:rowOff>19050</xdr:rowOff>
    </xdr:from>
    <xdr:to>
      <xdr:col>7</xdr:col>
      <xdr:colOff>276225</xdr:colOff>
      <xdr:row>12</xdr:row>
      <xdr:rowOff>0</xdr:rowOff>
    </xdr:to>
    <xdr:pic>
      <xdr:nvPicPr>
        <xdr:cNvPr id="2" name="OptionButton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2000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12</xdr:row>
      <xdr:rowOff>19050</xdr:rowOff>
    </xdr:from>
    <xdr:to>
      <xdr:col>7</xdr:col>
      <xdr:colOff>276225</xdr:colOff>
      <xdr:row>13</xdr:row>
      <xdr:rowOff>9525</xdr:rowOff>
    </xdr:to>
    <xdr:pic>
      <xdr:nvPicPr>
        <xdr:cNvPr id="3" name="OptionButton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21717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13</xdr:row>
      <xdr:rowOff>19050</xdr:rowOff>
    </xdr:from>
    <xdr:to>
      <xdr:col>7</xdr:col>
      <xdr:colOff>276225</xdr:colOff>
      <xdr:row>14</xdr:row>
      <xdr:rowOff>0</xdr:rowOff>
    </xdr:to>
    <xdr:pic>
      <xdr:nvPicPr>
        <xdr:cNvPr id="4" name="OptionButton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62425" y="23622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16</xdr:row>
      <xdr:rowOff>9525</xdr:rowOff>
    </xdr:from>
    <xdr:to>
      <xdr:col>7</xdr:col>
      <xdr:colOff>276225</xdr:colOff>
      <xdr:row>16</xdr:row>
      <xdr:rowOff>152400</xdr:rowOff>
    </xdr:to>
    <xdr:pic>
      <xdr:nvPicPr>
        <xdr:cNvPr id="5" name="OptionButton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62425" y="2886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16</xdr:row>
      <xdr:rowOff>152400</xdr:rowOff>
    </xdr:from>
    <xdr:to>
      <xdr:col>7</xdr:col>
      <xdr:colOff>276225</xdr:colOff>
      <xdr:row>17</xdr:row>
      <xdr:rowOff>104775</xdr:rowOff>
    </xdr:to>
    <xdr:pic>
      <xdr:nvPicPr>
        <xdr:cNvPr id="6" name="OptionButton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62425" y="3028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18</xdr:row>
      <xdr:rowOff>0</xdr:rowOff>
    </xdr:from>
    <xdr:to>
      <xdr:col>7</xdr:col>
      <xdr:colOff>276225</xdr:colOff>
      <xdr:row>18</xdr:row>
      <xdr:rowOff>123825</xdr:rowOff>
    </xdr:to>
    <xdr:pic>
      <xdr:nvPicPr>
        <xdr:cNvPr id="7" name="OptionButton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62425" y="32385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21</xdr:row>
      <xdr:rowOff>19050</xdr:rowOff>
    </xdr:from>
    <xdr:to>
      <xdr:col>7</xdr:col>
      <xdr:colOff>285750</xdr:colOff>
      <xdr:row>22</xdr:row>
      <xdr:rowOff>9525</xdr:rowOff>
    </xdr:to>
    <xdr:pic>
      <xdr:nvPicPr>
        <xdr:cNvPr id="8" name="OptionButton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71950" y="37909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22</xdr:row>
      <xdr:rowOff>19050</xdr:rowOff>
    </xdr:from>
    <xdr:to>
      <xdr:col>7</xdr:col>
      <xdr:colOff>285750</xdr:colOff>
      <xdr:row>23</xdr:row>
      <xdr:rowOff>9525</xdr:rowOff>
    </xdr:to>
    <xdr:pic>
      <xdr:nvPicPr>
        <xdr:cNvPr id="9" name="Option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71950" y="39624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23</xdr:row>
      <xdr:rowOff>19050</xdr:rowOff>
    </xdr:from>
    <xdr:to>
      <xdr:col>7</xdr:col>
      <xdr:colOff>285750</xdr:colOff>
      <xdr:row>24</xdr:row>
      <xdr:rowOff>9525</xdr:rowOff>
    </xdr:to>
    <xdr:pic>
      <xdr:nvPicPr>
        <xdr:cNvPr id="10" name="OptionButton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71950" y="41338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24</xdr:row>
      <xdr:rowOff>19050</xdr:rowOff>
    </xdr:from>
    <xdr:to>
      <xdr:col>7</xdr:col>
      <xdr:colOff>285750</xdr:colOff>
      <xdr:row>25</xdr:row>
      <xdr:rowOff>9525</xdr:rowOff>
    </xdr:to>
    <xdr:pic>
      <xdr:nvPicPr>
        <xdr:cNvPr id="11" name="OptionButton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71950" y="4305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58</xdr:row>
      <xdr:rowOff>9525</xdr:rowOff>
    </xdr:from>
    <xdr:to>
      <xdr:col>1</xdr:col>
      <xdr:colOff>257175</xdr:colOff>
      <xdr:row>59</xdr:row>
      <xdr:rowOff>0</xdr:rowOff>
    </xdr:to>
    <xdr:pic>
      <xdr:nvPicPr>
        <xdr:cNvPr id="12" name="OptionButton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4325" y="10258425"/>
          <a:ext cx="123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59</xdr:row>
      <xdr:rowOff>9525</xdr:rowOff>
    </xdr:from>
    <xdr:to>
      <xdr:col>1</xdr:col>
      <xdr:colOff>257175</xdr:colOff>
      <xdr:row>59</xdr:row>
      <xdr:rowOff>123825</xdr:rowOff>
    </xdr:to>
    <xdr:pic>
      <xdr:nvPicPr>
        <xdr:cNvPr id="13" name="OptionButton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1048702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43</xdr:row>
      <xdr:rowOff>9525</xdr:rowOff>
    </xdr:from>
    <xdr:to>
      <xdr:col>7</xdr:col>
      <xdr:colOff>238125</xdr:colOff>
      <xdr:row>44</xdr:row>
      <xdr:rowOff>0</xdr:rowOff>
    </xdr:to>
    <xdr:pic>
      <xdr:nvPicPr>
        <xdr:cNvPr id="14" name="OptionButton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24325" y="75914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44</xdr:row>
      <xdr:rowOff>19050</xdr:rowOff>
    </xdr:from>
    <xdr:to>
      <xdr:col>7</xdr:col>
      <xdr:colOff>238125</xdr:colOff>
      <xdr:row>45</xdr:row>
      <xdr:rowOff>0</xdr:rowOff>
    </xdr:to>
    <xdr:pic>
      <xdr:nvPicPr>
        <xdr:cNvPr id="15" name="OptionButton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24325" y="77819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16</xdr:row>
      <xdr:rowOff>19050</xdr:rowOff>
    </xdr:from>
    <xdr:to>
      <xdr:col>2</xdr:col>
      <xdr:colOff>990600</xdr:colOff>
      <xdr:row>16</xdr:row>
      <xdr:rowOff>161925</xdr:rowOff>
    </xdr:to>
    <xdr:pic>
      <xdr:nvPicPr>
        <xdr:cNvPr id="16" name="OptionButton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00175" y="28956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16</xdr:row>
      <xdr:rowOff>19050</xdr:rowOff>
    </xdr:from>
    <xdr:to>
      <xdr:col>2</xdr:col>
      <xdr:colOff>1181100</xdr:colOff>
      <xdr:row>16</xdr:row>
      <xdr:rowOff>161925</xdr:rowOff>
    </xdr:to>
    <xdr:pic>
      <xdr:nvPicPr>
        <xdr:cNvPr id="17" name="OptionButton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90675" y="28956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18</xdr:row>
      <xdr:rowOff>19050</xdr:rowOff>
    </xdr:from>
    <xdr:to>
      <xdr:col>2</xdr:col>
      <xdr:colOff>971550</xdr:colOff>
      <xdr:row>18</xdr:row>
      <xdr:rowOff>171450</xdr:rowOff>
    </xdr:to>
    <xdr:pic>
      <xdr:nvPicPr>
        <xdr:cNvPr id="18" name="OptionButton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81125" y="32575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18</xdr:row>
      <xdr:rowOff>19050</xdr:rowOff>
    </xdr:from>
    <xdr:to>
      <xdr:col>2</xdr:col>
      <xdr:colOff>1171575</xdr:colOff>
      <xdr:row>18</xdr:row>
      <xdr:rowOff>171450</xdr:rowOff>
    </xdr:to>
    <xdr:pic>
      <xdr:nvPicPr>
        <xdr:cNvPr id="19" name="OptionButton1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81150" y="32575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12</xdr:row>
      <xdr:rowOff>142875</xdr:rowOff>
    </xdr:from>
    <xdr:to>
      <xdr:col>3</xdr:col>
      <xdr:colOff>123825</xdr:colOff>
      <xdr:row>13</xdr:row>
      <xdr:rowOff>152400</xdr:rowOff>
    </xdr:to>
    <xdr:pic>
      <xdr:nvPicPr>
        <xdr:cNvPr id="20" name="Spin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19250" y="2295525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5</xdr:row>
      <xdr:rowOff>152400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43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AI72"/>
  <sheetViews>
    <sheetView showZero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2.8515625" style="8" customWidth="1"/>
    <col min="2" max="2" width="5.7109375" style="8" customWidth="1"/>
    <col min="3" max="3" width="21.140625" style="8" customWidth="1"/>
    <col min="4" max="4" width="11.421875" style="9" customWidth="1"/>
    <col min="5" max="5" width="6.57421875" style="9" customWidth="1"/>
    <col min="6" max="6" width="7.28125" style="8" customWidth="1"/>
    <col min="7" max="7" width="5.421875" style="10" customWidth="1"/>
    <col min="8" max="8" width="5.57421875" style="8" customWidth="1"/>
    <col min="9" max="9" width="10.28125" style="8" customWidth="1"/>
    <col min="10" max="10" width="19.28125" style="8" customWidth="1"/>
    <col min="11" max="12" width="5.7109375" style="8" customWidth="1"/>
    <col min="13" max="13" width="18.28125" style="8" hidden="1" customWidth="1"/>
    <col min="14" max="14" width="9.7109375" style="8" hidden="1" customWidth="1"/>
    <col min="15" max="15" width="9.8515625" style="8" hidden="1" customWidth="1"/>
    <col min="16" max="16" width="10.421875" style="8" hidden="1" customWidth="1"/>
    <col min="17" max="17" width="7.140625" style="8" hidden="1" customWidth="1"/>
    <col min="18" max="18" width="10.421875" style="8" hidden="1" customWidth="1"/>
    <col min="19" max="25" width="7.140625" style="8" hidden="1" customWidth="1"/>
    <col min="26" max="28" width="0" style="8" hidden="1" customWidth="1"/>
    <col min="29" max="29" width="0" style="11" hidden="1" customWidth="1"/>
    <col min="30" max="32" width="0" style="8" hidden="1" customWidth="1"/>
    <col min="33" max="16384" width="11.57421875" style="8" customWidth="1"/>
  </cols>
  <sheetData>
    <row r="1" ht="14.25"/>
    <row r="2" ht="15.75" customHeight="1"/>
    <row r="3" ht="16.5" customHeight="1"/>
    <row r="4" ht="14.25"/>
    <row r="5" ht="14.25"/>
    <row r="6" ht="14.25"/>
    <row r="7" spans="1:11" ht="14.25">
      <c r="A7" s="12"/>
      <c r="B7" s="13"/>
      <c r="C7" s="13"/>
      <c r="D7" s="14"/>
      <c r="E7" s="14"/>
      <c r="F7" s="13"/>
      <c r="G7" s="13"/>
      <c r="H7" s="15"/>
      <c r="I7" s="13"/>
      <c r="J7" s="13"/>
      <c r="K7" s="16"/>
    </row>
    <row r="8" spans="1:14" ht="12.75" customHeight="1">
      <c r="A8" s="17"/>
      <c r="B8" s="18"/>
      <c r="C8" s="19" t="s">
        <v>0</v>
      </c>
      <c r="D8" s="20" t="s">
        <v>114</v>
      </c>
      <c r="E8" s="21"/>
      <c r="F8" s="22"/>
      <c r="G8" s="22"/>
      <c r="H8" s="23"/>
      <c r="I8" s="18"/>
      <c r="J8" s="18"/>
      <c r="K8" s="24"/>
      <c r="M8" s="203" t="s">
        <v>1</v>
      </c>
      <c r="N8" s="204"/>
    </row>
    <row r="9" spans="1:13" ht="12.75" customHeight="1">
      <c r="A9" s="17"/>
      <c r="B9" s="18"/>
      <c r="C9" s="19" t="s">
        <v>2</v>
      </c>
      <c r="D9" s="25" t="s">
        <v>115</v>
      </c>
      <c r="E9" s="26"/>
      <c r="F9" s="26"/>
      <c r="G9" s="27"/>
      <c r="H9" s="18"/>
      <c r="I9" s="18"/>
      <c r="J9" s="18"/>
      <c r="K9" s="28"/>
      <c r="M9" s="29"/>
    </row>
    <row r="10" spans="1:13" ht="13.5">
      <c r="A10" s="17"/>
      <c r="B10" s="18"/>
      <c r="C10" s="18"/>
      <c r="D10" s="26"/>
      <c r="E10" s="26"/>
      <c r="F10" s="26"/>
      <c r="G10" s="27"/>
      <c r="H10" s="18"/>
      <c r="I10" s="18"/>
      <c r="J10" s="18"/>
      <c r="K10" s="28"/>
      <c r="M10" s="29"/>
    </row>
    <row r="11" spans="1:30" ht="13.5">
      <c r="A11" s="17"/>
      <c r="B11" s="250" t="s">
        <v>3</v>
      </c>
      <c r="C11" s="251"/>
      <c r="D11" s="30">
        <v>6</v>
      </c>
      <c r="E11" s="31" t="s">
        <v>4</v>
      </c>
      <c r="F11" s="32"/>
      <c r="G11" s="18"/>
      <c r="H11" s="33"/>
      <c r="I11" s="215" t="s">
        <v>5</v>
      </c>
      <c r="J11" s="216"/>
      <c r="K11" s="34"/>
      <c r="M11" s="29"/>
      <c r="AD11" s="35"/>
    </row>
    <row r="12" spans="1:18" ht="13.5">
      <c r="A12" s="17"/>
      <c r="B12" s="230" t="s">
        <v>6</v>
      </c>
      <c r="C12" s="231"/>
      <c r="D12" s="38">
        <v>0.5</v>
      </c>
      <c r="E12" s="39" t="s">
        <v>7</v>
      </c>
      <c r="F12" s="40"/>
      <c r="G12" s="18"/>
      <c r="H12" s="33"/>
      <c r="I12" s="41" t="s">
        <v>8</v>
      </c>
      <c r="J12" s="42">
        <v>0.6</v>
      </c>
      <c r="K12" s="34"/>
      <c r="M12" s="214" t="s">
        <v>9</v>
      </c>
      <c r="N12" s="43" t="s">
        <v>10</v>
      </c>
      <c r="O12" s="210" t="s">
        <v>11</v>
      </c>
      <c r="P12" s="210"/>
      <c r="Q12" s="44" t="s">
        <v>12</v>
      </c>
      <c r="R12" s="44" t="s">
        <v>13</v>
      </c>
    </row>
    <row r="13" spans="1:29" ht="15">
      <c r="A13" s="17"/>
      <c r="B13" s="230" t="s">
        <v>14</v>
      </c>
      <c r="C13" s="231"/>
      <c r="D13" s="45">
        <f>D11*D12</f>
        <v>3</v>
      </c>
      <c r="E13" s="39" t="s">
        <v>7</v>
      </c>
      <c r="F13" s="40"/>
      <c r="G13" s="18"/>
      <c r="H13" s="33"/>
      <c r="I13" s="41" t="s">
        <v>15</v>
      </c>
      <c r="J13" s="42">
        <v>0.7</v>
      </c>
      <c r="K13" s="34"/>
      <c r="M13" s="214"/>
      <c r="N13" s="46">
        <v>10.7</v>
      </c>
      <c r="O13" s="211">
        <v>11.6</v>
      </c>
      <c r="P13" s="211"/>
      <c r="Q13" s="48">
        <f>D14</f>
        <v>5</v>
      </c>
      <c r="R13" s="47">
        <f>O13*Q13/3.6+N13</f>
        <v>26.81111111111111</v>
      </c>
      <c r="AC13" s="11" t="b">
        <v>0</v>
      </c>
    </row>
    <row r="14" spans="1:29" ht="15">
      <c r="A14" s="17"/>
      <c r="B14" s="248" t="s">
        <v>16</v>
      </c>
      <c r="C14" s="249"/>
      <c r="D14" s="51">
        <f>+F14/4</f>
        <v>5</v>
      </c>
      <c r="E14" s="39" t="s">
        <v>17</v>
      </c>
      <c r="F14" s="52">
        <v>20</v>
      </c>
      <c r="G14" s="18"/>
      <c r="H14" s="33"/>
      <c r="I14" s="41" t="s">
        <v>18</v>
      </c>
      <c r="J14" s="42">
        <v>0.8</v>
      </c>
      <c r="K14" s="34"/>
      <c r="AC14" s="11" t="b">
        <v>1</v>
      </c>
    </row>
    <row r="15" spans="1:35" ht="13.5">
      <c r="A15" s="17"/>
      <c r="B15" s="53"/>
      <c r="C15" s="54"/>
      <c r="D15" s="55"/>
      <c r="E15" s="39"/>
      <c r="F15" s="40"/>
      <c r="G15" s="18"/>
      <c r="H15" s="33"/>
      <c r="I15" s="18"/>
      <c r="J15" s="18"/>
      <c r="K15" s="24"/>
      <c r="AC15" s="11" t="b">
        <v>0</v>
      </c>
      <c r="AD15" s="35"/>
      <c r="AI15" s="56"/>
    </row>
    <row r="16" spans="1:19" ht="13.5">
      <c r="A16" s="17"/>
      <c r="B16" s="248" t="s">
        <v>117</v>
      </c>
      <c r="C16" s="249"/>
      <c r="D16" s="57"/>
      <c r="E16" s="39"/>
      <c r="F16" s="40"/>
      <c r="G16" s="18"/>
      <c r="H16" s="33"/>
      <c r="I16" s="215" t="s">
        <v>19</v>
      </c>
      <c r="J16" s="216"/>
      <c r="K16" s="34"/>
      <c r="M16" s="29"/>
      <c r="O16" s="58"/>
      <c r="P16" s="58"/>
      <c r="Q16" s="58"/>
      <c r="R16" s="58"/>
      <c r="S16" s="58"/>
    </row>
    <row r="17" spans="1:19" ht="15" customHeight="1">
      <c r="A17" s="17"/>
      <c r="B17" s="49" t="s">
        <v>120</v>
      </c>
      <c r="C17" s="50"/>
      <c r="D17" s="55">
        <f>IF(F17,40,0)</f>
        <v>40</v>
      </c>
      <c r="E17" s="39" t="s">
        <v>25</v>
      </c>
      <c r="F17" s="59" t="b">
        <v>1</v>
      </c>
      <c r="G17" s="18"/>
      <c r="H17" s="33"/>
      <c r="I17" s="41" t="s">
        <v>20</v>
      </c>
      <c r="J17" s="42">
        <v>25</v>
      </c>
      <c r="K17" s="34"/>
      <c r="M17" s="29"/>
      <c r="O17" s="58"/>
      <c r="P17" s="58"/>
      <c r="Q17" s="58"/>
      <c r="R17" s="58"/>
      <c r="S17" s="58"/>
    </row>
    <row r="18" spans="1:29" ht="13.5">
      <c r="A18" s="17"/>
      <c r="B18" s="49" t="s">
        <v>117</v>
      </c>
      <c r="C18" s="50"/>
      <c r="D18" s="55"/>
      <c r="E18" s="39"/>
      <c r="F18" s="59" t="b">
        <v>0</v>
      </c>
      <c r="G18" s="18"/>
      <c r="H18" s="33"/>
      <c r="I18" s="41" t="s">
        <v>21</v>
      </c>
      <c r="J18" s="42">
        <v>50</v>
      </c>
      <c r="K18" s="34"/>
      <c r="M18" s="212" t="s">
        <v>22</v>
      </c>
      <c r="N18" s="213"/>
      <c r="O18" s="29"/>
      <c r="P18" s="29"/>
      <c r="Q18" s="60"/>
      <c r="R18" s="60"/>
      <c r="S18" s="60"/>
      <c r="AC18" s="11" t="b">
        <v>0</v>
      </c>
    </row>
    <row r="19" spans="1:29" ht="15">
      <c r="A19" s="17"/>
      <c r="B19" s="49" t="s">
        <v>119</v>
      </c>
      <c r="C19" s="50"/>
      <c r="D19" s="55">
        <f>IF(F19,40,0)</f>
        <v>40</v>
      </c>
      <c r="E19" s="39" t="s">
        <v>25</v>
      </c>
      <c r="F19" s="59" t="b">
        <v>1</v>
      </c>
      <c r="G19" s="18"/>
      <c r="H19" s="33"/>
      <c r="I19" s="41" t="s">
        <v>23</v>
      </c>
      <c r="J19" s="42">
        <v>75</v>
      </c>
      <c r="K19" s="34"/>
      <c r="L19" s="29"/>
      <c r="M19" s="61"/>
      <c r="N19" s="61" t="s">
        <v>24</v>
      </c>
      <c r="O19" s="29"/>
      <c r="P19" s="29"/>
      <c r="Q19" s="60"/>
      <c r="R19" s="60"/>
      <c r="S19" s="60"/>
      <c r="AC19" s="11" t="b">
        <v>0</v>
      </c>
    </row>
    <row r="20" spans="1:29" ht="13.5">
      <c r="A20" s="17"/>
      <c r="B20" s="36"/>
      <c r="C20" s="37"/>
      <c r="D20" s="62"/>
      <c r="E20" s="39"/>
      <c r="F20" s="59" t="b">
        <v>0</v>
      </c>
      <c r="G20" s="18"/>
      <c r="H20" s="33"/>
      <c r="I20" s="18"/>
      <c r="J20" s="18"/>
      <c r="K20" s="34"/>
      <c r="L20" s="29"/>
      <c r="M20" s="61" t="s">
        <v>26</v>
      </c>
      <c r="N20" s="44" t="s">
        <v>27</v>
      </c>
      <c r="O20" s="29"/>
      <c r="Q20" s="60"/>
      <c r="R20" s="60"/>
      <c r="S20" s="60"/>
      <c r="AC20" s="11" t="b">
        <v>1</v>
      </c>
    </row>
    <row r="21" spans="1:19" ht="13.5">
      <c r="A21" s="17"/>
      <c r="B21" s="36" t="s">
        <v>118</v>
      </c>
      <c r="C21" s="37"/>
      <c r="D21" s="55">
        <f>+D17+D19</f>
        <v>80</v>
      </c>
      <c r="E21" s="39" t="s">
        <v>25</v>
      </c>
      <c r="F21" s="40"/>
      <c r="G21" s="18"/>
      <c r="H21" s="33"/>
      <c r="I21" s="215" t="s">
        <v>29</v>
      </c>
      <c r="J21" s="216"/>
      <c r="K21" s="34"/>
      <c r="L21" s="29"/>
      <c r="M21" s="61" t="s">
        <v>30</v>
      </c>
      <c r="N21" s="44" t="s">
        <v>31</v>
      </c>
      <c r="O21" s="29"/>
      <c r="P21" s="29"/>
      <c r="Q21" s="60"/>
      <c r="R21" s="60"/>
      <c r="S21" s="60"/>
    </row>
    <row r="22" spans="1:16" ht="13.5">
      <c r="A22" s="17"/>
      <c r="B22" s="63"/>
      <c r="C22" s="64"/>
      <c r="D22" s="55">
        <f>D21*1.36</f>
        <v>108.80000000000001</v>
      </c>
      <c r="E22" s="39" t="s">
        <v>28</v>
      </c>
      <c r="F22" s="40"/>
      <c r="G22" s="18"/>
      <c r="H22" s="33"/>
      <c r="I22" s="65" t="s">
        <v>32</v>
      </c>
      <c r="J22" s="42">
        <v>90</v>
      </c>
      <c r="K22" s="34"/>
      <c r="L22" s="29"/>
      <c r="M22" s="29"/>
      <c r="N22" s="60"/>
      <c r="O22" s="60"/>
      <c r="P22" s="60"/>
    </row>
    <row r="23" spans="1:29" ht="13.5">
      <c r="A23" s="17"/>
      <c r="B23" s="53"/>
      <c r="C23" s="54"/>
      <c r="D23" s="55"/>
      <c r="E23" s="39"/>
      <c r="F23" s="40"/>
      <c r="G23" s="18"/>
      <c r="H23" s="33"/>
      <c r="I23" s="41" t="s">
        <v>33</v>
      </c>
      <c r="J23" s="42">
        <v>120</v>
      </c>
      <c r="K23" s="34"/>
      <c r="M23" s="205" t="s">
        <v>34</v>
      </c>
      <c r="N23" s="206"/>
      <c r="O23" s="207"/>
      <c r="P23" s="66"/>
      <c r="Q23" s="66"/>
      <c r="R23" s="66"/>
      <c r="AC23" s="11" t="b">
        <v>0</v>
      </c>
    </row>
    <row r="24" spans="1:29" ht="13.5">
      <c r="A24" s="17"/>
      <c r="B24" s="230" t="s">
        <v>35</v>
      </c>
      <c r="C24" s="231"/>
      <c r="D24" s="67">
        <f>10/(D14*D13)</f>
        <v>0.6666666666666666</v>
      </c>
      <c r="E24" s="39" t="s">
        <v>36</v>
      </c>
      <c r="F24" s="40"/>
      <c r="G24" s="18"/>
      <c r="H24" s="33"/>
      <c r="I24" s="41" t="s">
        <v>37</v>
      </c>
      <c r="J24" s="42">
        <v>150</v>
      </c>
      <c r="K24" s="24"/>
      <c r="L24" s="29"/>
      <c r="M24" s="208" t="s">
        <v>38</v>
      </c>
      <c r="N24" s="42">
        <f>D33</f>
        <v>150</v>
      </c>
      <c r="O24" s="41" t="s">
        <v>28</v>
      </c>
      <c r="P24" s="66"/>
      <c r="Q24" s="66"/>
      <c r="R24" s="66"/>
      <c r="AC24" s="11" t="b">
        <v>0</v>
      </c>
    </row>
    <row r="25" spans="1:29" ht="13.5">
      <c r="A25" s="17"/>
      <c r="B25" s="230" t="s">
        <v>39</v>
      </c>
      <c r="C25" s="231"/>
      <c r="D25" s="68">
        <f>IF(AC13=TRUE,J12,IF(AC14=TRUE,J13,IF(AC15=TRUE,J14)))</f>
        <v>0.7</v>
      </c>
      <c r="E25" s="69"/>
      <c r="F25" s="40"/>
      <c r="G25" s="18"/>
      <c r="H25" s="33"/>
      <c r="I25" s="41" t="s">
        <v>40</v>
      </c>
      <c r="J25" s="42">
        <v>180</v>
      </c>
      <c r="K25" s="34"/>
      <c r="L25" s="29"/>
      <c r="M25" s="209"/>
      <c r="N25" s="70">
        <f>N24/1.36</f>
        <v>110.29411764705881</v>
      </c>
      <c r="O25" s="41" t="s">
        <v>25</v>
      </c>
      <c r="P25" s="71"/>
      <c r="Q25" s="254" t="s">
        <v>41</v>
      </c>
      <c r="R25" s="255"/>
      <c r="AC25" s="11" t="b">
        <v>1</v>
      </c>
    </row>
    <row r="26" spans="1:29" ht="13.5">
      <c r="A26" s="17"/>
      <c r="B26" s="244" t="s">
        <v>42</v>
      </c>
      <c r="C26" s="245"/>
      <c r="D26" s="74">
        <f>D24/D25</f>
        <v>0.9523809523809524</v>
      </c>
      <c r="E26" s="75" t="s">
        <v>36</v>
      </c>
      <c r="F26" s="40"/>
      <c r="G26" s="18"/>
      <c r="H26" s="33"/>
      <c r="I26" s="18"/>
      <c r="J26" s="18"/>
      <c r="K26" s="34"/>
      <c r="L26" s="29"/>
      <c r="M26" s="220" t="s">
        <v>43</v>
      </c>
      <c r="N26" s="76">
        <f>+I59</f>
        <v>560</v>
      </c>
      <c r="O26" s="61" t="s">
        <v>44</v>
      </c>
      <c r="P26" s="66"/>
      <c r="Q26" s="256"/>
      <c r="R26" s="257"/>
      <c r="S26" s="77"/>
      <c r="T26" s="77"/>
      <c r="AC26" s="11" t="b">
        <v>0</v>
      </c>
    </row>
    <row r="27" spans="1:20" ht="13.5">
      <c r="A27" s="17"/>
      <c r="B27" s="78"/>
      <c r="C27" s="79"/>
      <c r="D27" s="74">
        <f>1/D26</f>
        <v>1.05</v>
      </c>
      <c r="E27" s="75" t="s">
        <v>45</v>
      </c>
      <c r="F27" s="40"/>
      <c r="G27" s="18"/>
      <c r="H27" s="23"/>
      <c r="I27" s="215" t="s">
        <v>46</v>
      </c>
      <c r="J27" s="216"/>
      <c r="K27" s="34"/>
      <c r="L27" s="29"/>
      <c r="M27" s="221"/>
      <c r="N27" s="80">
        <f>N25*N26</f>
        <v>61764.70588235294</v>
      </c>
      <c r="O27" s="61" t="s">
        <v>47</v>
      </c>
      <c r="P27" s="66"/>
      <c r="Q27" s="70" t="s">
        <v>48</v>
      </c>
      <c r="R27" s="81" t="s">
        <v>49</v>
      </c>
      <c r="S27" s="82"/>
      <c r="T27" s="82"/>
    </row>
    <row r="28" spans="1:27" ht="13.5">
      <c r="A28" s="17"/>
      <c r="B28" s="78"/>
      <c r="C28" s="83"/>
      <c r="D28" s="68"/>
      <c r="E28" s="69"/>
      <c r="F28" s="40"/>
      <c r="G28" s="18"/>
      <c r="H28" s="23"/>
      <c r="I28" s="41" t="s">
        <v>50</v>
      </c>
      <c r="J28" s="42" t="s">
        <v>51</v>
      </c>
      <c r="K28" s="34"/>
      <c r="L28" s="29"/>
      <c r="M28" s="220" t="s">
        <v>52</v>
      </c>
      <c r="N28" s="84">
        <v>12000</v>
      </c>
      <c r="O28" s="61" t="s">
        <v>53</v>
      </c>
      <c r="P28" s="66"/>
      <c r="Q28" s="80">
        <v>500</v>
      </c>
      <c r="R28" s="70">
        <f>$N$27/$N$28+$N$27/($N$29*Q28)+($N$27*$N$30*0.6)/(Q28*100)+($N$27*(($N$31+$N$32)/(Q28*100)))+$N$25*$N$34*$N$33</f>
        <v>18.708823529411763</v>
      </c>
      <c r="S28" s="85"/>
      <c r="T28" s="85"/>
      <c r="U28" s="58"/>
      <c r="V28" s="58"/>
      <c r="W28" s="58"/>
      <c r="X28" s="58"/>
      <c r="Y28" s="58"/>
      <c r="Z28" s="58"/>
      <c r="AA28" s="58"/>
    </row>
    <row r="29" spans="1:27" ht="12.75" customHeight="1">
      <c r="A29" s="17"/>
      <c r="B29" s="230" t="s">
        <v>54</v>
      </c>
      <c r="C29" s="231"/>
      <c r="D29" s="68">
        <f>IF(AC18=TRUE,J17,IF(AC19=TRUE,J18,IF(AC20=TRUE,J19)))</f>
        <v>75</v>
      </c>
      <c r="E29" s="39" t="s">
        <v>55</v>
      </c>
      <c r="F29" s="40"/>
      <c r="G29" s="18"/>
      <c r="H29" s="18"/>
      <c r="I29" s="41" t="s">
        <v>8</v>
      </c>
      <c r="J29" s="86">
        <v>0.1</v>
      </c>
      <c r="K29" s="24"/>
      <c r="L29" s="29"/>
      <c r="M29" s="221"/>
      <c r="N29" s="87">
        <v>20</v>
      </c>
      <c r="O29" s="61" t="s">
        <v>56</v>
      </c>
      <c r="P29" s="66"/>
      <c r="Q29" s="80">
        <v>1000</v>
      </c>
      <c r="R29" s="70">
        <f>$N$27/$N$28+$N$27/($N$29*Q29)+($N$27*$N$30*0.6)/(Q29*100)+($N$27*(($N$31+$N$32)/(Q29*100)))+$N$25*$N$34*$N$33</f>
        <v>13.58235294117647</v>
      </c>
      <c r="S29" s="29"/>
      <c r="T29" s="29"/>
      <c r="U29" s="58"/>
      <c r="V29" s="58"/>
      <c r="W29" s="58"/>
      <c r="X29" s="58"/>
      <c r="Y29" s="58"/>
      <c r="Z29" s="58"/>
      <c r="AA29" s="58"/>
    </row>
    <row r="30" spans="1:27" ht="13.5">
      <c r="A30" s="17"/>
      <c r="B30" s="230" t="s">
        <v>57</v>
      </c>
      <c r="C30" s="231"/>
      <c r="D30" s="55">
        <f>D22*100/D29</f>
        <v>145.0666666666667</v>
      </c>
      <c r="E30" s="39" t="s">
        <v>28</v>
      </c>
      <c r="F30" s="40"/>
      <c r="G30" s="18"/>
      <c r="H30" s="18"/>
      <c r="I30" s="41" t="s">
        <v>15</v>
      </c>
      <c r="J30" s="86">
        <v>0.15</v>
      </c>
      <c r="K30" s="34"/>
      <c r="L30" s="29"/>
      <c r="M30" s="88" t="s">
        <v>58</v>
      </c>
      <c r="N30" s="89">
        <f>+D51</f>
        <v>5</v>
      </c>
      <c r="O30" s="61" t="s">
        <v>55</v>
      </c>
      <c r="P30" s="66"/>
      <c r="Q30" s="66"/>
      <c r="R30" s="66"/>
      <c r="S30" s="85"/>
      <c r="T30" s="85"/>
      <c r="U30" s="60"/>
      <c r="V30" s="60"/>
      <c r="W30" s="60"/>
      <c r="X30" s="60"/>
      <c r="Y30" s="60"/>
      <c r="Z30" s="60"/>
      <c r="AA30" s="60"/>
    </row>
    <row r="31" spans="1:27" ht="13.5">
      <c r="A31" s="17"/>
      <c r="B31" s="53"/>
      <c r="C31" s="54"/>
      <c r="D31" s="68"/>
      <c r="E31" s="69"/>
      <c r="F31" s="40"/>
      <c r="G31" s="18"/>
      <c r="H31" s="18"/>
      <c r="I31" s="41" t="s">
        <v>18</v>
      </c>
      <c r="J31" s="86">
        <v>0.207</v>
      </c>
      <c r="K31" s="34"/>
      <c r="L31" s="29"/>
      <c r="M31" s="88" t="s">
        <v>59</v>
      </c>
      <c r="N31" s="89">
        <v>0.2</v>
      </c>
      <c r="O31" s="61" t="s">
        <v>55</v>
      </c>
      <c r="P31" s="66"/>
      <c r="Q31" s="66"/>
      <c r="R31" s="66"/>
      <c r="S31" s="85"/>
      <c r="T31" s="85"/>
      <c r="U31" s="60"/>
      <c r="V31" s="60"/>
      <c r="W31" s="60"/>
      <c r="X31" s="60"/>
      <c r="Y31" s="60"/>
      <c r="Z31" s="60"/>
      <c r="AA31" s="60"/>
    </row>
    <row r="32" spans="1:27" ht="13.5">
      <c r="A32" s="17"/>
      <c r="B32" s="230" t="s">
        <v>60</v>
      </c>
      <c r="C32" s="231"/>
      <c r="D32" s="68" t="str">
        <f>IF(AC23=TRUE,"Pequeño",IF(AC24=TRUE,"Mediano",IF(AC25=TRUE,"Grande",IF(AC26=TRUE,"Muy Grande",))))</f>
        <v>Grande</v>
      </c>
      <c r="E32" s="39"/>
      <c r="F32" s="40"/>
      <c r="G32" s="18"/>
      <c r="H32" s="18"/>
      <c r="I32" s="18"/>
      <c r="J32" s="18"/>
      <c r="K32" s="34"/>
      <c r="M32" s="88" t="s">
        <v>61</v>
      </c>
      <c r="N32" s="89">
        <v>0.1</v>
      </c>
      <c r="O32" s="61" t="s">
        <v>55</v>
      </c>
      <c r="P32" s="66"/>
      <c r="Q32" s="66"/>
      <c r="R32" s="66"/>
      <c r="S32" s="85"/>
      <c r="T32" s="90"/>
      <c r="U32" s="60"/>
      <c r="V32" s="60"/>
      <c r="W32" s="60"/>
      <c r="X32" s="60"/>
      <c r="Y32" s="60"/>
      <c r="Z32" s="60"/>
      <c r="AA32" s="60"/>
    </row>
    <row r="33" spans="1:27" ht="13.5">
      <c r="A33" s="17"/>
      <c r="B33" s="252" t="s">
        <v>38</v>
      </c>
      <c r="C33" s="253"/>
      <c r="D33" s="91">
        <f>IF(AC23=TRUE,J22,IF(AC24=TRUE,J23,IF(AC25=TRUE,J24,IF(AC26=TRUE,J25,""))))</f>
        <v>150</v>
      </c>
      <c r="E33" s="92" t="s">
        <v>28</v>
      </c>
      <c r="F33" s="93"/>
      <c r="G33" s="18"/>
      <c r="H33" s="18"/>
      <c r="I33" s="18"/>
      <c r="J33" s="18"/>
      <c r="K33" s="34"/>
      <c r="L33" s="29"/>
      <c r="M33" s="94" t="s">
        <v>62</v>
      </c>
      <c r="N33" s="89">
        <v>0.2</v>
      </c>
      <c r="O33" s="95" t="s">
        <v>63</v>
      </c>
      <c r="P33" s="66"/>
      <c r="Q33" s="66"/>
      <c r="R33" s="66"/>
      <c r="S33" s="85"/>
      <c r="T33" s="85"/>
      <c r="U33" s="60"/>
      <c r="V33" s="60"/>
      <c r="W33" s="60"/>
      <c r="X33" s="60"/>
      <c r="Y33" s="60"/>
      <c r="Z33" s="60"/>
      <c r="AA33" s="60"/>
    </row>
    <row r="34" spans="1:20" ht="12.75" customHeight="1">
      <c r="A34" s="17"/>
      <c r="B34" s="18"/>
      <c r="C34" s="18"/>
      <c r="D34" s="96"/>
      <c r="E34" s="21"/>
      <c r="F34" s="18"/>
      <c r="G34" s="18"/>
      <c r="H34" s="18"/>
      <c r="I34" s="18"/>
      <c r="J34" s="18"/>
      <c r="K34" s="24"/>
      <c r="L34" s="29"/>
      <c r="M34" s="94" t="s">
        <v>64</v>
      </c>
      <c r="N34" s="97">
        <v>0.15</v>
      </c>
      <c r="O34" s="98" t="s">
        <v>65</v>
      </c>
      <c r="P34" s="66"/>
      <c r="Q34" s="66"/>
      <c r="R34" s="66"/>
      <c r="T34" s="58"/>
    </row>
    <row r="35" spans="1:20" ht="13.5">
      <c r="A35" s="17"/>
      <c r="B35" s="226" t="s">
        <v>66</v>
      </c>
      <c r="C35" s="227"/>
      <c r="D35" s="99"/>
      <c r="E35" s="100"/>
      <c r="F35" s="18"/>
      <c r="G35" s="18"/>
      <c r="H35" s="18"/>
      <c r="I35" s="218" t="s">
        <v>123</v>
      </c>
      <c r="J35" s="219"/>
      <c r="K35" s="34"/>
      <c r="L35" s="29"/>
      <c r="T35" s="58"/>
    </row>
    <row r="36" spans="1:12" ht="14.25" thickBot="1">
      <c r="A36" s="17"/>
      <c r="B36" s="230" t="s">
        <v>67</v>
      </c>
      <c r="C36" s="231"/>
      <c r="D36" s="67">
        <f>IF(D29=J17,J29*D33/1.36,IF(D29=J18,J30*D33/1.36,IF(D29=J19,J31*D33/1.36)))</f>
        <v>22.830882352941174</v>
      </c>
      <c r="E36" s="101" t="s">
        <v>68</v>
      </c>
      <c r="F36" s="18"/>
      <c r="G36" s="18"/>
      <c r="H36" s="18"/>
      <c r="I36" s="102">
        <v>17000</v>
      </c>
      <c r="J36" s="103" t="s">
        <v>124</v>
      </c>
      <c r="K36" s="34"/>
      <c r="L36" s="29"/>
    </row>
    <row r="37" spans="1:18" ht="14.25" customHeight="1">
      <c r="A37" s="17"/>
      <c r="B37" s="53"/>
      <c r="C37" s="54"/>
      <c r="D37" s="67">
        <f>D36*D26</f>
        <v>21.743697478991596</v>
      </c>
      <c r="E37" s="101" t="s">
        <v>69</v>
      </c>
      <c r="F37" s="18"/>
      <c r="G37" s="18"/>
      <c r="H37" s="18"/>
      <c r="I37" s="102">
        <v>35000</v>
      </c>
      <c r="J37" s="103" t="s">
        <v>116</v>
      </c>
      <c r="K37" s="34"/>
      <c r="M37" s="222" t="s">
        <v>70</v>
      </c>
      <c r="N37" s="265" t="s">
        <v>71</v>
      </c>
      <c r="O37" s="265" t="s">
        <v>72</v>
      </c>
      <c r="P37" s="267" t="s">
        <v>73</v>
      </c>
      <c r="Q37" s="258" t="s">
        <v>74</v>
      </c>
      <c r="R37" s="260" t="s">
        <v>75</v>
      </c>
    </row>
    <row r="38" spans="1:25" ht="14.25" thickBot="1">
      <c r="A38" s="17"/>
      <c r="B38" s="230" t="s">
        <v>76</v>
      </c>
      <c r="C38" s="231"/>
      <c r="D38" s="104">
        <f>D36*0.1/100</f>
        <v>0.022830882352941173</v>
      </c>
      <c r="E38" s="101" t="s">
        <v>68</v>
      </c>
      <c r="F38" s="18"/>
      <c r="G38" s="18"/>
      <c r="H38" s="18"/>
      <c r="I38" s="105"/>
      <c r="J38" s="105"/>
      <c r="K38" s="34"/>
      <c r="M38" s="223"/>
      <c r="N38" s="266"/>
      <c r="O38" s="266"/>
      <c r="P38" s="268"/>
      <c r="Q38" s="259"/>
      <c r="R38" s="261"/>
      <c r="U38" s="77"/>
      <c r="V38" s="77"/>
      <c r="W38" s="77"/>
      <c r="X38" s="77"/>
      <c r="Y38" s="106"/>
    </row>
    <row r="39" spans="1:24" ht="13.5">
      <c r="A39" s="17"/>
      <c r="B39" s="78"/>
      <c r="C39" s="83"/>
      <c r="D39" s="104">
        <f>D37*0.1/100</f>
        <v>0.021743697478991596</v>
      </c>
      <c r="E39" s="101" t="s">
        <v>69</v>
      </c>
      <c r="F39" s="18"/>
      <c r="G39" s="18"/>
      <c r="H39" s="18"/>
      <c r="I39" s="218" t="s">
        <v>125</v>
      </c>
      <c r="J39" s="219"/>
      <c r="K39" s="34"/>
      <c r="L39" s="29"/>
      <c r="M39" s="107">
        <v>180</v>
      </c>
      <c r="N39" s="108">
        <v>75</v>
      </c>
      <c r="O39" s="108">
        <f aca="true" t="shared" si="0" ref="O39:O50">N39/100*M39</f>
        <v>135</v>
      </c>
      <c r="P39" s="109">
        <f aca="true" t="shared" si="1" ref="P39:P50">0.75*O39</f>
        <v>101.25</v>
      </c>
      <c r="Q39" s="110">
        <f aca="true" t="shared" si="2" ref="Q39:Q50">10.7+$D$19</f>
        <v>50.7</v>
      </c>
      <c r="R39" s="111">
        <f aca="true" t="shared" si="3" ref="R39:R50">P39/(Q39*1.36)</f>
        <v>1.4684128089105462</v>
      </c>
      <c r="U39" s="82"/>
      <c r="V39" s="82"/>
      <c r="W39" s="82"/>
      <c r="X39" s="82"/>
    </row>
    <row r="40" spans="1:24" ht="14.25" thickBot="1">
      <c r="A40" s="17"/>
      <c r="B40" s="228" t="s">
        <v>77</v>
      </c>
      <c r="C40" s="229"/>
      <c r="D40" s="112">
        <v>1</v>
      </c>
      <c r="E40" s="113" t="s">
        <v>63</v>
      </c>
      <c r="F40" s="18"/>
      <c r="G40" s="18"/>
      <c r="H40" s="18"/>
      <c r="I40" s="114">
        <v>9</v>
      </c>
      <c r="J40" s="103" t="s">
        <v>124</v>
      </c>
      <c r="K40" s="24"/>
      <c r="L40" s="29"/>
      <c r="M40" s="115">
        <v>180</v>
      </c>
      <c r="N40" s="48">
        <v>50</v>
      </c>
      <c r="O40" s="48">
        <f t="shared" si="0"/>
        <v>90</v>
      </c>
      <c r="P40" s="116">
        <f t="shared" si="1"/>
        <v>67.5</v>
      </c>
      <c r="Q40" s="117">
        <f t="shared" si="2"/>
        <v>50.7</v>
      </c>
      <c r="R40" s="118">
        <f t="shared" si="3"/>
        <v>0.9789418726070308</v>
      </c>
      <c r="U40" s="85"/>
      <c r="V40" s="85"/>
      <c r="W40" s="85"/>
      <c r="X40" s="85"/>
    </row>
    <row r="41" spans="1:24" ht="15" thickBot="1" thickTop="1">
      <c r="A41" s="17"/>
      <c r="B41" s="72" t="s">
        <v>78</v>
      </c>
      <c r="C41" s="73"/>
      <c r="D41" s="119">
        <f>D40*D36</f>
        <v>22.830882352941174</v>
      </c>
      <c r="E41" s="120" t="s">
        <v>79</v>
      </c>
      <c r="F41" s="18"/>
      <c r="G41" s="18"/>
      <c r="H41" s="18"/>
      <c r="I41" s="114">
        <v>12</v>
      </c>
      <c r="J41" s="103" t="s">
        <v>116</v>
      </c>
      <c r="K41" s="34"/>
      <c r="L41" s="29"/>
      <c r="M41" s="121">
        <v>180</v>
      </c>
      <c r="N41" s="122">
        <v>25</v>
      </c>
      <c r="O41" s="122">
        <f t="shared" si="0"/>
        <v>45</v>
      </c>
      <c r="P41" s="123">
        <f t="shared" si="1"/>
        <v>33.75</v>
      </c>
      <c r="Q41" s="124">
        <f t="shared" si="2"/>
        <v>50.7</v>
      </c>
      <c r="R41" s="125">
        <f t="shared" si="3"/>
        <v>0.4894709363035154</v>
      </c>
      <c r="U41" s="29"/>
      <c r="V41" s="29"/>
      <c r="W41" s="29"/>
      <c r="X41" s="29"/>
    </row>
    <row r="42" spans="1:24" ht="13.5">
      <c r="A42" s="17"/>
      <c r="B42" s="126"/>
      <c r="C42" s="127"/>
      <c r="D42" s="128">
        <f>D37*D40</f>
        <v>21.743697478991596</v>
      </c>
      <c r="E42" s="129" t="s">
        <v>80</v>
      </c>
      <c r="F42" s="18"/>
      <c r="G42" s="18"/>
      <c r="H42" s="18"/>
      <c r="I42" s="18"/>
      <c r="J42" s="18"/>
      <c r="K42" s="34"/>
      <c r="L42" s="29"/>
      <c r="M42" s="130">
        <v>150</v>
      </c>
      <c r="N42" s="108">
        <v>75</v>
      </c>
      <c r="O42" s="108">
        <f t="shared" si="0"/>
        <v>112.5</v>
      </c>
      <c r="P42" s="109">
        <f t="shared" si="1"/>
        <v>84.375</v>
      </c>
      <c r="Q42" s="110">
        <f t="shared" si="2"/>
        <v>50.7</v>
      </c>
      <c r="R42" s="111">
        <f t="shared" si="3"/>
        <v>1.2236773407587884</v>
      </c>
      <c r="U42" s="85"/>
      <c r="V42" s="85"/>
      <c r="W42" s="85"/>
      <c r="X42" s="85"/>
    </row>
    <row r="43" spans="1:24" ht="13.5">
      <c r="A43" s="17"/>
      <c r="B43" s="18"/>
      <c r="C43" s="18"/>
      <c r="D43" s="96"/>
      <c r="E43" s="21"/>
      <c r="F43" s="18"/>
      <c r="G43" s="18"/>
      <c r="H43" s="131"/>
      <c r="I43" s="264" t="s">
        <v>81</v>
      </c>
      <c r="J43" s="264"/>
      <c r="K43" s="132"/>
      <c r="M43" s="133">
        <v>150</v>
      </c>
      <c r="N43" s="48">
        <v>50</v>
      </c>
      <c r="O43" s="48">
        <f t="shared" si="0"/>
        <v>75</v>
      </c>
      <c r="P43" s="116">
        <f t="shared" si="1"/>
        <v>56.25</v>
      </c>
      <c r="Q43" s="117">
        <f t="shared" si="2"/>
        <v>50.7</v>
      </c>
      <c r="R43" s="118">
        <f t="shared" si="3"/>
        <v>0.8157848938391923</v>
      </c>
      <c r="U43" s="85"/>
      <c r="V43" s="85"/>
      <c r="W43" s="85"/>
      <c r="X43" s="85"/>
    </row>
    <row r="44" spans="1:24" ht="14.25" thickBot="1">
      <c r="A44" s="17"/>
      <c r="B44" s="226" t="s">
        <v>82</v>
      </c>
      <c r="C44" s="227"/>
      <c r="D44" s="99"/>
      <c r="E44" s="134"/>
      <c r="F44" s="135"/>
      <c r="G44" s="136"/>
      <c r="H44" s="131"/>
      <c r="I44" s="41" t="s">
        <v>8</v>
      </c>
      <c r="J44" s="89">
        <v>200</v>
      </c>
      <c r="K44" s="132"/>
      <c r="M44" s="137">
        <v>150</v>
      </c>
      <c r="N44" s="122">
        <v>25</v>
      </c>
      <c r="O44" s="122">
        <f t="shared" si="0"/>
        <v>37.5</v>
      </c>
      <c r="P44" s="123">
        <f t="shared" si="1"/>
        <v>28.125</v>
      </c>
      <c r="Q44" s="124">
        <f t="shared" si="2"/>
        <v>50.7</v>
      </c>
      <c r="R44" s="125">
        <f t="shared" si="3"/>
        <v>0.40789244691959614</v>
      </c>
      <c r="U44" s="85"/>
      <c r="V44" s="85"/>
      <c r="W44" s="85"/>
      <c r="X44" s="85"/>
    </row>
    <row r="45" spans="1:24" ht="13.5">
      <c r="A45" s="17"/>
      <c r="B45" s="230" t="s">
        <v>83</v>
      </c>
      <c r="C45" s="231"/>
      <c r="D45" s="68">
        <f>IF(AC46=TRUE,J44,J45)</f>
        <v>400</v>
      </c>
      <c r="E45" s="39" t="s">
        <v>48</v>
      </c>
      <c r="F45" s="83"/>
      <c r="G45" s="40"/>
      <c r="H45" s="131"/>
      <c r="I45" s="41" t="s">
        <v>18</v>
      </c>
      <c r="J45" s="138">
        <v>400</v>
      </c>
      <c r="K45" s="132"/>
      <c r="M45" s="139">
        <v>120</v>
      </c>
      <c r="N45" s="140">
        <v>75</v>
      </c>
      <c r="O45" s="140">
        <f t="shared" si="0"/>
        <v>90</v>
      </c>
      <c r="P45" s="141">
        <f t="shared" si="1"/>
        <v>67.5</v>
      </c>
      <c r="Q45" s="110">
        <f t="shared" si="2"/>
        <v>50.7</v>
      </c>
      <c r="R45" s="142">
        <f t="shared" si="3"/>
        <v>0.9789418726070308</v>
      </c>
      <c r="U45" s="85"/>
      <c r="V45" s="85"/>
      <c r="W45" s="85"/>
      <c r="X45" s="85"/>
    </row>
    <row r="46" spans="1:29" ht="13.5">
      <c r="A46" s="17"/>
      <c r="B46" s="53"/>
      <c r="C46" s="54"/>
      <c r="D46" s="68"/>
      <c r="E46" s="143" t="s">
        <v>121</v>
      </c>
      <c r="F46" s="144">
        <f>+I36</f>
        <v>17000</v>
      </c>
      <c r="G46" s="59" t="s">
        <v>47</v>
      </c>
      <c r="H46" s="18"/>
      <c r="I46" s="18"/>
      <c r="J46" s="18"/>
      <c r="K46" s="24"/>
      <c r="M46" s="145">
        <v>120</v>
      </c>
      <c r="N46" s="48">
        <v>50</v>
      </c>
      <c r="O46" s="48">
        <f t="shared" si="0"/>
        <v>60</v>
      </c>
      <c r="P46" s="116">
        <f t="shared" si="1"/>
        <v>45</v>
      </c>
      <c r="Q46" s="117">
        <f t="shared" si="2"/>
        <v>50.7</v>
      </c>
      <c r="R46" s="118">
        <f t="shared" si="3"/>
        <v>0.6526279150713539</v>
      </c>
      <c r="U46" s="58"/>
      <c r="AC46" s="11" t="b">
        <v>0</v>
      </c>
    </row>
    <row r="47" spans="1:29" ht="14.25" thickBot="1">
      <c r="A47" s="17"/>
      <c r="B47" s="230" t="s">
        <v>122</v>
      </c>
      <c r="C47" s="231"/>
      <c r="D47" s="146">
        <f>+H47+I47</f>
        <v>52000</v>
      </c>
      <c r="E47" s="39" t="s">
        <v>47</v>
      </c>
      <c r="F47" s="144">
        <f>+I37</f>
        <v>35000</v>
      </c>
      <c r="G47" s="59" t="s">
        <v>47</v>
      </c>
      <c r="H47" s="147">
        <f>IF(F17,F46,0)</f>
        <v>17000</v>
      </c>
      <c r="I47" s="148">
        <f>IF(F19,F47,0)</f>
        <v>35000</v>
      </c>
      <c r="J47" s="18"/>
      <c r="K47" s="34"/>
      <c r="M47" s="149">
        <v>120</v>
      </c>
      <c r="N47" s="150">
        <v>25</v>
      </c>
      <c r="O47" s="150">
        <f t="shared" si="0"/>
        <v>30</v>
      </c>
      <c r="P47" s="151">
        <f t="shared" si="1"/>
        <v>22.5</v>
      </c>
      <c r="Q47" s="124">
        <f t="shared" si="2"/>
        <v>50.7</v>
      </c>
      <c r="R47" s="152">
        <f t="shared" si="3"/>
        <v>0.32631395753567694</v>
      </c>
      <c r="U47" s="58"/>
      <c r="AC47" s="11" t="b">
        <v>1</v>
      </c>
    </row>
    <row r="48" spans="1:18" ht="13.5">
      <c r="A48" s="17"/>
      <c r="B48" s="78"/>
      <c r="C48" s="83"/>
      <c r="D48" s="146"/>
      <c r="E48" s="69"/>
      <c r="F48" s="83"/>
      <c r="G48" s="40"/>
      <c r="H48" s="18"/>
      <c r="I48" s="18"/>
      <c r="J48" s="18"/>
      <c r="K48" s="34"/>
      <c r="M48" s="153">
        <v>90</v>
      </c>
      <c r="N48" s="108">
        <v>75</v>
      </c>
      <c r="O48" s="108">
        <f t="shared" si="0"/>
        <v>67.5</v>
      </c>
      <c r="P48" s="109">
        <f t="shared" si="1"/>
        <v>50.625</v>
      </c>
      <c r="Q48" s="110">
        <f t="shared" si="2"/>
        <v>50.7</v>
      </c>
      <c r="R48" s="111">
        <f t="shared" si="3"/>
        <v>0.7342064044552731</v>
      </c>
    </row>
    <row r="49" spans="1:18" ht="13.5">
      <c r="A49" s="17"/>
      <c r="B49" s="246" t="s">
        <v>84</v>
      </c>
      <c r="C49" s="247"/>
      <c r="D49" s="155">
        <v>2000</v>
      </c>
      <c r="E49" s="39" t="s">
        <v>85</v>
      </c>
      <c r="F49" s="67">
        <f>+$D$47/$D49</f>
        <v>26</v>
      </c>
      <c r="G49" s="156" t="s">
        <v>79</v>
      </c>
      <c r="H49" s="18"/>
      <c r="I49" s="18"/>
      <c r="J49" s="18"/>
      <c r="K49" s="157"/>
      <c r="M49" s="158">
        <v>90</v>
      </c>
      <c r="N49" s="48">
        <v>50</v>
      </c>
      <c r="O49" s="48">
        <f t="shared" si="0"/>
        <v>45</v>
      </c>
      <c r="P49" s="116">
        <f t="shared" si="1"/>
        <v>33.75</v>
      </c>
      <c r="Q49" s="117">
        <f t="shared" si="2"/>
        <v>50.7</v>
      </c>
      <c r="R49" s="118">
        <f t="shared" si="3"/>
        <v>0.4894709363035154</v>
      </c>
    </row>
    <row r="50" spans="1:18" ht="14.25" thickBot="1">
      <c r="A50" s="17"/>
      <c r="B50" s="246" t="s">
        <v>86</v>
      </c>
      <c r="C50" s="247"/>
      <c r="D50" s="51">
        <v>20</v>
      </c>
      <c r="E50" s="39" t="s">
        <v>56</v>
      </c>
      <c r="F50" s="67">
        <f>+$D$47/($D50*D45)</f>
        <v>6.5</v>
      </c>
      <c r="G50" s="156" t="s">
        <v>79</v>
      </c>
      <c r="H50" s="18"/>
      <c r="I50" s="262" t="str">
        <f>CONCATENATE("Vida útil para ",D45," h/año")</f>
        <v>Vida útil para 400 h/año</v>
      </c>
      <c r="J50" s="263"/>
      <c r="K50" s="24"/>
      <c r="M50" s="159">
        <v>90</v>
      </c>
      <c r="N50" s="122">
        <v>25</v>
      </c>
      <c r="O50" s="122">
        <f t="shared" si="0"/>
        <v>22.5</v>
      </c>
      <c r="P50" s="123">
        <f t="shared" si="1"/>
        <v>16.875</v>
      </c>
      <c r="Q50" s="124">
        <f t="shared" si="2"/>
        <v>50.7</v>
      </c>
      <c r="R50" s="125">
        <f t="shared" si="3"/>
        <v>0.2447354681517577</v>
      </c>
    </row>
    <row r="51" spans="1:11" ht="13.5">
      <c r="A51" s="17"/>
      <c r="B51" s="246" t="s">
        <v>87</v>
      </c>
      <c r="C51" s="247"/>
      <c r="D51" s="51">
        <v>5</v>
      </c>
      <c r="E51" s="39" t="s">
        <v>55</v>
      </c>
      <c r="F51" s="67">
        <f>+$D$47*0.006*$D51/D45</f>
        <v>3.9</v>
      </c>
      <c r="G51" s="156" t="s">
        <v>79</v>
      </c>
      <c r="H51" s="18"/>
      <c r="I51" s="160" t="s">
        <v>85</v>
      </c>
      <c r="J51" s="161">
        <f>+$D$47/($F$49+$F$50)</f>
        <v>1600</v>
      </c>
      <c r="K51" s="24"/>
    </row>
    <row r="52" spans="1:11" ht="13.5">
      <c r="A52" s="17"/>
      <c r="B52" s="246" t="s">
        <v>88</v>
      </c>
      <c r="C52" s="247"/>
      <c r="D52" s="51">
        <v>0.2</v>
      </c>
      <c r="E52" s="39" t="s">
        <v>89</v>
      </c>
      <c r="F52" s="67">
        <f>+$D$47*$D52/(100*D45)</f>
        <v>0.26</v>
      </c>
      <c r="G52" s="156" t="s">
        <v>79</v>
      </c>
      <c r="H52" s="18"/>
      <c r="I52" s="160" t="s">
        <v>56</v>
      </c>
      <c r="J52" s="162">
        <f>+$D$47/($D$45*($F$49+$F$50))</f>
        <v>4</v>
      </c>
      <c r="K52" s="163"/>
    </row>
    <row r="53" spans="1:11" ht="13.5">
      <c r="A53" s="17"/>
      <c r="B53" s="246" t="s">
        <v>90</v>
      </c>
      <c r="C53" s="247"/>
      <c r="D53" s="51">
        <v>0.1</v>
      </c>
      <c r="E53" s="39" t="s">
        <v>89</v>
      </c>
      <c r="F53" s="67">
        <f>+$D$47*$D53/(D45*100)</f>
        <v>0.13</v>
      </c>
      <c r="G53" s="156" t="s">
        <v>79</v>
      </c>
      <c r="H53" s="18"/>
      <c r="I53" s="18"/>
      <c r="J53" s="18"/>
      <c r="K53" s="164"/>
    </row>
    <row r="54" spans="1:11" ht="14.25" customHeight="1" thickBot="1">
      <c r="A54" s="17"/>
      <c r="B54" s="232" t="s">
        <v>91</v>
      </c>
      <c r="C54" s="233"/>
      <c r="D54" s="165">
        <f>+I54+H54</f>
        <v>21</v>
      </c>
      <c r="E54" s="166" t="s">
        <v>80</v>
      </c>
      <c r="F54" s="167">
        <f>+D54/D26</f>
        <v>22.049999999999997</v>
      </c>
      <c r="G54" s="168" t="s">
        <v>79</v>
      </c>
      <c r="H54" s="147">
        <f>IF(F17,I40,0)</f>
        <v>9</v>
      </c>
      <c r="I54" s="148">
        <f>IF(F19,I41,0)</f>
        <v>12</v>
      </c>
      <c r="J54" s="18"/>
      <c r="K54" s="169"/>
    </row>
    <row r="55" spans="1:11" ht="14.25" thickTop="1">
      <c r="A55" s="17"/>
      <c r="B55" s="78"/>
      <c r="C55" s="154" t="s">
        <v>92</v>
      </c>
      <c r="D55" s="69"/>
      <c r="E55" s="69"/>
      <c r="F55" s="67">
        <f>SUM(F49:F54)</f>
        <v>58.839999999999996</v>
      </c>
      <c r="G55" s="156" t="s">
        <v>79</v>
      </c>
      <c r="H55" s="21"/>
      <c r="I55" s="21"/>
      <c r="J55" s="18"/>
      <c r="K55" s="24"/>
    </row>
    <row r="56" spans="1:11" ht="13.5">
      <c r="A56" s="17"/>
      <c r="B56" s="170"/>
      <c r="C56" s="171"/>
      <c r="D56" s="172"/>
      <c r="E56" s="172"/>
      <c r="F56" s="173">
        <f>+F55*D26</f>
        <v>56.03809523809524</v>
      </c>
      <c r="G56" s="174" t="s">
        <v>80</v>
      </c>
      <c r="H56" s="18"/>
      <c r="I56" s="18"/>
      <c r="J56" s="18"/>
      <c r="K56" s="24"/>
    </row>
    <row r="57" spans="1:11" ht="13.5">
      <c r="A57" s="17"/>
      <c r="B57" s="236" t="s">
        <v>93</v>
      </c>
      <c r="C57" s="236"/>
      <c r="D57" s="236"/>
      <c r="E57" s="241" t="s">
        <v>94</v>
      </c>
      <c r="F57" s="241"/>
      <c r="G57" s="175"/>
      <c r="H57" s="147"/>
      <c r="I57" s="147"/>
      <c r="J57" s="18"/>
      <c r="K57" s="24"/>
    </row>
    <row r="58" spans="1:11" ht="17.25" customHeight="1">
      <c r="A58" s="17"/>
      <c r="B58" s="224" t="s">
        <v>95</v>
      </c>
      <c r="C58" s="225"/>
      <c r="D58" s="176" t="s">
        <v>96</v>
      </c>
      <c r="E58" s="177" t="s">
        <v>79</v>
      </c>
      <c r="F58" s="177" t="s">
        <v>80</v>
      </c>
      <c r="G58" s="175"/>
      <c r="H58" s="147"/>
      <c r="I58" s="217" t="s">
        <v>103</v>
      </c>
      <c r="J58" s="217"/>
      <c r="K58" s="24"/>
    </row>
    <row r="59" spans="1:11" ht="18" customHeight="1">
      <c r="A59" s="17"/>
      <c r="B59" s="103"/>
      <c r="C59" s="103" t="s">
        <v>97</v>
      </c>
      <c r="D59" s="178">
        <f>R28+D41</f>
        <v>41.53970588235293</v>
      </c>
      <c r="E59" s="179">
        <f>IF(AC66=TRUE,D59+D41,D59*0)</f>
        <v>0</v>
      </c>
      <c r="F59" s="180">
        <f>E59*$D$26</f>
        <v>0</v>
      </c>
      <c r="G59" s="181">
        <f>IF(AC66=TRUE,F59,F59*0)</f>
        <v>0</v>
      </c>
      <c r="H59" s="147"/>
      <c r="I59" s="182">
        <v>560</v>
      </c>
      <c r="J59" s="65" t="s">
        <v>104</v>
      </c>
      <c r="K59" s="24"/>
    </row>
    <row r="60" spans="1:11" ht="13.5">
      <c r="A60" s="17"/>
      <c r="B60" s="103"/>
      <c r="C60" s="103" t="s">
        <v>98</v>
      </c>
      <c r="D60" s="178">
        <f>R29+D41</f>
        <v>36.41323529411764</v>
      </c>
      <c r="E60" s="180">
        <f>IF(AC67=TRUE,D60+D41,D60*0)</f>
        <v>59.244117647058815</v>
      </c>
      <c r="F60" s="180">
        <f>E60*$D$26</f>
        <v>56.422969187675065</v>
      </c>
      <c r="G60" s="181">
        <f>IF(AC67=TRUE,F60,F60*0)</f>
        <v>56.422969187675065</v>
      </c>
      <c r="H60" s="147"/>
      <c r="I60" s="147"/>
      <c r="J60" s="18"/>
      <c r="K60" s="24"/>
    </row>
    <row r="61" spans="1:11" ht="13.5">
      <c r="A61" s="17"/>
      <c r="B61" s="18"/>
      <c r="C61" s="183"/>
      <c r="D61" s="21"/>
      <c r="E61" s="19"/>
      <c r="F61" s="184"/>
      <c r="G61" s="175"/>
      <c r="H61" s="147"/>
      <c r="I61" s="147"/>
      <c r="J61" s="18"/>
      <c r="K61" s="24"/>
    </row>
    <row r="62" spans="1:11" ht="13.5">
      <c r="A62" s="17"/>
      <c r="B62" s="234" t="s">
        <v>99</v>
      </c>
      <c r="C62" s="234"/>
      <c r="D62" s="234"/>
      <c r="E62" s="235" t="s">
        <v>92</v>
      </c>
      <c r="F62" s="235"/>
      <c r="G62" s="185"/>
      <c r="H62" s="18"/>
      <c r="I62" s="18"/>
      <c r="J62" s="18"/>
      <c r="K62" s="24"/>
    </row>
    <row r="63" spans="1:11" ht="13.5">
      <c r="A63" s="17"/>
      <c r="B63" s="242" t="s">
        <v>95</v>
      </c>
      <c r="C63" s="243"/>
      <c r="D63" s="186" t="s">
        <v>100</v>
      </c>
      <c r="E63" s="237" t="s">
        <v>80</v>
      </c>
      <c r="F63" s="238"/>
      <c r="G63" s="23"/>
      <c r="H63" s="18"/>
      <c r="I63" s="18"/>
      <c r="J63" s="18"/>
      <c r="K63" s="24"/>
    </row>
    <row r="64" spans="1:11" ht="13.5">
      <c r="A64" s="17"/>
      <c r="B64" s="41"/>
      <c r="C64" s="41" t="str">
        <f>IF(D45=J44,"Baja","Alta")</f>
        <v>Alta</v>
      </c>
      <c r="D64" s="187">
        <f>D45*D27</f>
        <v>420</v>
      </c>
      <c r="E64" s="239">
        <f>+F56+$G$59+$G$60</f>
        <v>112.4610644257703</v>
      </c>
      <c r="F64" s="240" t="e">
        <f>$D$24*($D$45/$D$47)+$D$45/($D$48*D64*$D$24)+(($D$45*0.006*$D$49)/(D64*$D$24))+$D$45*($D$50+$D$51)/(100*D64*$D$24)+($D$52/$D$24)+$D$70</f>
        <v>#DIV/0!</v>
      </c>
      <c r="G64" s="23"/>
      <c r="H64" s="18"/>
      <c r="I64" s="18"/>
      <c r="J64" s="18"/>
      <c r="K64" s="24"/>
    </row>
    <row r="65" spans="1:11" ht="13.5">
      <c r="A65" s="17"/>
      <c r="B65" s="18"/>
      <c r="C65" s="18"/>
      <c r="D65" s="96"/>
      <c r="E65" s="96"/>
      <c r="F65" s="188"/>
      <c r="G65" s="23"/>
      <c r="H65" s="18"/>
      <c r="I65" s="18"/>
      <c r="J65" s="18"/>
      <c r="K65" s="24"/>
    </row>
    <row r="66" spans="1:29" ht="13.5">
      <c r="A66" s="17"/>
      <c r="B66" s="18"/>
      <c r="C66" s="189"/>
      <c r="D66" s="21"/>
      <c r="E66" s="21"/>
      <c r="F66" s="190"/>
      <c r="G66" s="185"/>
      <c r="H66" s="18"/>
      <c r="I66" s="18"/>
      <c r="J66" s="18"/>
      <c r="K66" s="28"/>
      <c r="AC66" s="11" t="b">
        <v>0</v>
      </c>
    </row>
    <row r="67" spans="1:29" ht="13.5">
      <c r="A67" s="191"/>
      <c r="B67" s="192"/>
      <c r="C67" s="192"/>
      <c r="D67" s="193"/>
      <c r="E67" s="193"/>
      <c r="F67" s="194"/>
      <c r="G67" s="195"/>
      <c r="H67" s="192"/>
      <c r="I67" s="192"/>
      <c r="J67" s="192"/>
      <c r="K67" s="196"/>
      <c r="AC67" s="11" t="b">
        <v>1</v>
      </c>
    </row>
    <row r="68" spans="1:11" ht="12.75" customHeight="1">
      <c r="A68" s="66"/>
      <c r="B68" s="66"/>
      <c r="C68" s="66"/>
      <c r="D68" s="197"/>
      <c r="E68" s="197"/>
      <c r="F68" s="66"/>
      <c r="H68" s="66"/>
      <c r="I68" s="66"/>
      <c r="J68" s="66"/>
      <c r="K68" s="198"/>
    </row>
    <row r="69" spans="1:11" ht="13.5">
      <c r="A69" s="66"/>
      <c r="B69" s="66"/>
      <c r="C69" s="66"/>
      <c r="D69" s="197"/>
      <c r="E69" s="197"/>
      <c r="F69" s="66"/>
      <c r="H69" s="66"/>
      <c r="I69" s="66"/>
      <c r="J69" s="66"/>
      <c r="K69" s="66"/>
    </row>
    <row r="70" spans="3:7" ht="13.5">
      <c r="C70" s="199"/>
      <c r="D70" s="197"/>
      <c r="E70" s="200"/>
      <c r="F70" s="201"/>
      <c r="G70" s="202"/>
    </row>
    <row r="71" spans="4:29" ht="13.5">
      <c r="D71" s="197"/>
      <c r="E71" s="200"/>
      <c r="F71" s="201"/>
      <c r="G71" s="202"/>
      <c r="AC71" s="11" t="b">
        <v>1</v>
      </c>
    </row>
    <row r="72" ht="13.5">
      <c r="AC72" s="11" t="b">
        <v>0</v>
      </c>
    </row>
  </sheetData>
  <sheetProtection selectLockedCells="1"/>
  <mergeCells count="58">
    <mergeCell ref="O37:O38"/>
    <mergeCell ref="P37:P38"/>
    <mergeCell ref="B51:C51"/>
    <mergeCell ref="B33:C33"/>
    <mergeCell ref="B32:C32"/>
    <mergeCell ref="Q25:R26"/>
    <mergeCell ref="B50:C50"/>
    <mergeCell ref="Q37:Q38"/>
    <mergeCell ref="R37:R38"/>
    <mergeCell ref="I50:J50"/>
    <mergeCell ref="I43:J43"/>
    <mergeCell ref="N37:N38"/>
    <mergeCell ref="B24:C24"/>
    <mergeCell ref="I11:J11"/>
    <mergeCell ref="B13:C13"/>
    <mergeCell ref="I21:J21"/>
    <mergeCell ref="B14:C14"/>
    <mergeCell ref="B12:C12"/>
    <mergeCell ref="I16:J16"/>
    <mergeCell ref="B16:C16"/>
    <mergeCell ref="B11:C11"/>
    <mergeCell ref="B25:C25"/>
    <mergeCell ref="B26:C26"/>
    <mergeCell ref="B36:C36"/>
    <mergeCell ref="B35:C35"/>
    <mergeCell ref="B29:C29"/>
    <mergeCell ref="B30:C30"/>
    <mergeCell ref="B62:D62"/>
    <mergeCell ref="E62:F62"/>
    <mergeCell ref="B57:D57"/>
    <mergeCell ref="E63:F63"/>
    <mergeCell ref="E64:F64"/>
    <mergeCell ref="E57:F57"/>
    <mergeCell ref="B63:C63"/>
    <mergeCell ref="B58:C58"/>
    <mergeCell ref="B44:C44"/>
    <mergeCell ref="B40:C40"/>
    <mergeCell ref="B38:C38"/>
    <mergeCell ref="B54:C54"/>
    <mergeCell ref="B45:C45"/>
    <mergeCell ref="B47:C47"/>
    <mergeCell ref="B53:C53"/>
    <mergeCell ref="B49:C49"/>
    <mergeCell ref="B52:C52"/>
    <mergeCell ref="I27:J27"/>
    <mergeCell ref="I58:J58"/>
    <mergeCell ref="I35:J35"/>
    <mergeCell ref="I39:J39"/>
    <mergeCell ref="M26:M27"/>
    <mergeCell ref="M28:M29"/>
    <mergeCell ref="M37:M38"/>
    <mergeCell ref="M8:N8"/>
    <mergeCell ref="M23:O23"/>
    <mergeCell ref="M24:M25"/>
    <mergeCell ref="O12:P12"/>
    <mergeCell ref="O13:P13"/>
    <mergeCell ref="M18:N18"/>
    <mergeCell ref="M12:M13"/>
  </mergeCells>
  <conditionalFormatting sqref="C60">
    <cfRule type="expression" priority="1" dxfId="0" stopIfTrue="1">
      <formula>$G$60&gt;0</formula>
    </cfRule>
  </conditionalFormatting>
  <conditionalFormatting sqref="C59">
    <cfRule type="expression" priority="2" dxfId="0" stopIfTrue="1">
      <formula>$G$59&gt;0</formula>
    </cfRule>
  </conditionalFormatting>
  <conditionalFormatting sqref="J22:J25">
    <cfRule type="cellIs" priority="3" dxfId="0" operator="equal" stopIfTrue="1">
      <formula>$D$33</formula>
    </cfRule>
  </conditionalFormatting>
  <conditionalFormatting sqref="J17:J19">
    <cfRule type="cellIs" priority="4" dxfId="0" operator="equal" stopIfTrue="1">
      <formula>$D$29</formula>
    </cfRule>
  </conditionalFormatting>
  <conditionalFormatting sqref="J12:J14">
    <cfRule type="cellIs" priority="5" dxfId="0" operator="equal" stopIfTrue="1">
      <formula>$D$25</formula>
    </cfRule>
  </conditionalFormatting>
  <conditionalFormatting sqref="J29">
    <cfRule type="expression" priority="6" dxfId="0" stopIfTrue="1">
      <formula>$D$29=25</formula>
    </cfRule>
  </conditionalFormatting>
  <conditionalFormatting sqref="J30">
    <cfRule type="expression" priority="7" dxfId="0" stopIfTrue="1">
      <formula>$D$29=50</formula>
    </cfRule>
  </conditionalFormatting>
  <conditionalFormatting sqref="J31">
    <cfRule type="expression" priority="8" dxfId="0" stopIfTrue="1">
      <formula>$D$29=75</formula>
    </cfRule>
  </conditionalFormatting>
  <conditionalFormatting sqref="J44:J45">
    <cfRule type="cellIs" priority="9" dxfId="0" operator="equal" stopIfTrue="1">
      <formula>$D$45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O64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80.00390625" style="3" customWidth="1"/>
  </cols>
  <sheetData>
    <row r="1" s="1" customFormat="1" ht="12.75">
      <c r="A1" s="4"/>
    </row>
    <row r="2" s="1" customFormat="1" ht="12.75">
      <c r="A2" s="4"/>
    </row>
    <row r="3" s="1" customFormat="1" ht="12.75">
      <c r="A3" s="4"/>
    </row>
    <row r="4" s="1" customFormat="1" ht="12.75">
      <c r="A4" s="4"/>
    </row>
    <row r="5" s="1" customFormat="1" ht="12.75">
      <c r="A5" s="4"/>
    </row>
    <row r="6" s="1" customFormat="1" ht="12.75">
      <c r="A6" s="4"/>
    </row>
    <row r="7" s="1" customFormat="1" ht="12.75">
      <c r="A7" s="4"/>
    </row>
    <row r="8" spans="1:15" ht="12.75">
      <c r="A8" s="5" t="s">
        <v>126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6" t="s">
        <v>101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6" t="s">
        <v>127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4.25" customHeight="1">
      <c r="A12" s="6" t="s">
        <v>128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7" customHeight="1">
      <c r="A13" s="6" t="s">
        <v>135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 customHeight="1">
      <c r="A14" s="6" t="s">
        <v>105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6.25" customHeight="1">
      <c r="A15" s="6" t="s">
        <v>129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4.75" customHeight="1">
      <c r="A16" s="6" t="s">
        <v>133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8.5" customHeight="1">
      <c r="A17" s="6" t="s">
        <v>130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8.5" customHeight="1">
      <c r="A18" s="6" t="s">
        <v>134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8.5" customHeight="1">
      <c r="A19" s="6" t="s">
        <v>106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6" t="s">
        <v>102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6" t="s">
        <v>113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5.5" customHeight="1">
      <c r="A23" s="6" t="s">
        <v>131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6" t="s">
        <v>136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6" t="s">
        <v>107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6" t="s">
        <v>108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6" t="s">
        <v>137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6" t="s">
        <v>109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6" t="s">
        <v>110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6" t="s">
        <v>132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8.5" customHeight="1">
      <c r="A31" s="6" t="s">
        <v>111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8.5" customHeight="1">
      <c r="A32" s="6" t="s">
        <v>112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="1" customFormat="1" ht="12.75">
      <c r="A34" s="2"/>
    </row>
    <row r="35" s="1" customFormat="1" ht="12.75">
      <c r="A35" s="2"/>
    </row>
    <row r="36" s="1" customFormat="1" ht="12.75">
      <c r="A36" s="2"/>
    </row>
    <row r="37" s="1" customFormat="1" ht="12.75">
      <c r="A37" s="2"/>
    </row>
    <row r="38" s="1" customFormat="1" ht="12.75">
      <c r="A38" s="2"/>
    </row>
    <row r="39" s="1" customFormat="1" ht="12.75">
      <c r="A39" s="2"/>
    </row>
    <row r="40" s="1" customFormat="1" ht="12.75">
      <c r="A40" s="2"/>
    </row>
    <row r="41" s="1" customFormat="1" ht="12.75">
      <c r="A41" s="2"/>
    </row>
    <row r="42" s="1" customFormat="1" ht="12.75">
      <c r="A42" s="2"/>
    </row>
    <row r="43" s="1" customFormat="1" ht="12.75">
      <c r="A43" s="2"/>
    </row>
    <row r="44" s="1" customFormat="1" ht="12.75">
      <c r="A44" s="2"/>
    </row>
    <row r="45" s="1" customFormat="1" ht="12.75">
      <c r="A45" s="2"/>
    </row>
    <row r="46" s="1" customFormat="1" ht="12.75">
      <c r="A46" s="2"/>
    </row>
    <row r="47" s="1" customFormat="1" ht="12.75">
      <c r="A47" s="2"/>
    </row>
    <row r="48" s="1" customFormat="1" ht="12.75">
      <c r="A48" s="2"/>
    </row>
    <row r="49" s="1" customFormat="1" ht="12.75">
      <c r="A49" s="2"/>
    </row>
    <row r="50" s="1" customFormat="1" ht="12.75">
      <c r="A50" s="2"/>
    </row>
    <row r="51" s="1" customFormat="1" ht="12.75">
      <c r="A51" s="2"/>
    </row>
    <row r="52" s="1" customFormat="1" ht="12.75">
      <c r="A52" s="2"/>
    </row>
    <row r="53" s="1" customFormat="1" ht="12.75">
      <c r="A53" s="2"/>
    </row>
    <row r="54" s="1" customFormat="1" ht="12.75">
      <c r="A54" s="2"/>
    </row>
    <row r="55" s="1" customFormat="1" ht="12.75">
      <c r="A55" s="2"/>
    </row>
    <row r="56" s="1" customFormat="1" ht="12.75">
      <c r="A56" s="2"/>
    </row>
    <row r="57" s="1" customFormat="1" ht="12.75">
      <c r="A57" s="2"/>
    </row>
    <row r="58" s="1" customFormat="1" ht="12.75">
      <c r="A58" s="2"/>
    </row>
    <row r="59" s="1" customFormat="1" ht="12.75">
      <c r="A59" s="2"/>
    </row>
    <row r="60" s="1" customFormat="1" ht="12.75">
      <c r="A60" s="2"/>
    </row>
    <row r="61" s="1" customFormat="1" ht="12.75">
      <c r="A61" s="2"/>
    </row>
    <row r="62" s="1" customFormat="1" ht="12.75">
      <c r="A62" s="2"/>
    </row>
    <row r="63" s="1" customFormat="1" ht="12.75">
      <c r="A63" s="2"/>
    </row>
    <row r="64" s="1" customFormat="1" ht="12.75">
      <c r="A64" s="2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Márquez</dc:creator>
  <cp:keywords/>
  <dc:description/>
  <cp:lastModifiedBy>LM</cp:lastModifiedBy>
  <cp:lastPrinted>2008-09-05T12:29:50Z</cp:lastPrinted>
  <dcterms:created xsi:type="dcterms:W3CDTF">2008-02-01T12:24:04Z</dcterms:created>
  <dcterms:modified xsi:type="dcterms:W3CDTF">2014-06-27T08:49:19Z</dcterms:modified>
  <cp:category/>
  <cp:version/>
  <cp:contentType/>
  <cp:contentStatus/>
</cp:coreProperties>
</file>