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Cuba purín" sheetId="1" r:id="rId1"/>
    <sheet name="Metodología" sheetId="2" r:id="rId2"/>
  </sheets>
  <definedNames>
    <definedName name="_xlnm.Print_Area" localSheetId="0">'Cuba purín'!$A$1:$K$70</definedName>
    <definedName name="_xlnm.Print_Area" localSheetId="1">'Metodología'!$A$1:$A$33</definedName>
  </definedNames>
  <calcPr fullCalcOnLoad="1"/>
</workbook>
</file>

<file path=xl/sharedStrings.xml><?xml version="1.0" encoding="utf-8"?>
<sst xmlns="http://schemas.openxmlformats.org/spreadsheetml/2006/main" count="176" uniqueCount="132">
  <si>
    <t>OPERACIÓN:</t>
  </si>
  <si>
    <t xml:space="preserve">APERO: </t>
  </si>
  <si>
    <t>Baja</t>
  </si>
  <si>
    <t>Media</t>
  </si>
  <si>
    <t>m</t>
  </si>
  <si>
    <t>Alta</t>
  </si>
  <si>
    <t>km/h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</si>
  <si>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</si>
  <si>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</si>
  <si>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</si>
  <si>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</si>
  <si>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</si>
  <si>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</si>
  <si>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</si>
  <si>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</si>
  <si>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</si>
  <si>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</si>
  <si>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</si>
  <si>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</si>
  <si>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</si>
  <si>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</si>
  <si>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</si>
  <si>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</si>
  <si>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</si>
  <si>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</si>
  <si>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</si>
  <si>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</si>
  <si>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</si>
  <si>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</si>
  <si>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</si>
  <si>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</si>
  <si>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</si>
  <si>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</si>
  <si>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</si>
  <si>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</si>
  <si>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</si>
  <si>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</si>
  <si>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</si>
  <si>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</si>
  <si>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</si>
  <si>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</si>
  <si>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</si>
  <si>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</si>
  <si>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</si>
  <si>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</si>
  <si>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</si>
  <si>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</si>
  <si>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</si>
  <si>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</si>
  <si>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</si>
  <si>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</si>
  <si>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</si>
  <si>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</si>
  <si>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</si>
  <si>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</si>
  <si>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</si>
  <si>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Nivel de carga del tractor</t>
  </si>
  <si>
    <t>Potencia necesaria</t>
  </si>
  <si>
    <t>Pequeño</t>
  </si>
  <si>
    <t>Coef. Esfuerzo tracción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</si>
  <si>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</si>
  <si>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</si>
  <si>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</si>
  <si>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</si>
  <si>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</si>
  <si>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</si>
  <si>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</si>
  <si>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</si>
  <si>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</si>
  <si>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</si>
  <si>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</si>
  <si>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No hay datos de ASAE</t>
  </si>
  <si>
    <t>7 L/ha</t>
  </si>
  <si>
    <t>t</t>
  </si>
  <si>
    <t>Anchura de trabajo</t>
  </si>
  <si>
    <t>Anchura de trabajo (m)</t>
  </si>
  <si>
    <t>5 L/ha</t>
  </si>
  <si>
    <t>Abonado estiércol líquido</t>
  </si>
  <si>
    <t>Capacidad de la cisterna</t>
  </si>
  <si>
    <t>Cuba para purín</t>
  </si>
  <si>
    <t>Densidad purín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</si>
  <si>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</si>
  <si>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</si>
  <si>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</si>
  <si>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</si>
  <si>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</si>
  <si>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</si>
  <si>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</si>
  <si>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</si>
  <si>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</si>
  <si>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</si>
  <si>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</si>
  <si>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</si>
  <si>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</si>
  <si>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</si>
  <si>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</si>
  <si>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</si>
  <si>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</si>
  <si>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</si>
  <si>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</si>
  <si>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Distribución de purín mediante cuba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</si>
  <si>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</si>
  <si>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</si>
  <si>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</si>
  <si>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</si>
  <si>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Capacidad de la cisterna: Alta (10 m3) y baja (5 m3)</t>
  </si>
  <si>
    <t>-          Anchura de trabajo del apero: Alta (12 m) y baja (7 m)</t>
  </si>
  <si>
    <t>-          Eficiencia de la operación: Baja, media o alta (se recomienda escoger media para esta operación puesto que es la situación más habitual)</t>
  </si>
  <si>
    <t>-          Peso apero vacío: Expresado en toneladas</t>
  </si>
  <si>
    <t>-          Coeficiente de esfuerzo de tracción: Se ha tomado un valor de 0,2. Incluye el esfuerzo de tiro del apero.</t>
  </si>
  <si>
    <t>-          Velocidad de trabajo: Es un valor tomado de las velocidades recomendadas de trabajo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</si>
  <si>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</si>
  <si>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</si>
  <si>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</si>
  <si>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2.500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</si>
  <si>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</si>
  <si>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</si>
  <si>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</si>
  <si>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1,2 €/ha para la cisterna de 10 m3 de capacidad y 0,9 €/ha para la de 5 m3.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</si>
  <si>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</si>
  <si>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</si>
  <si>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     Nivel de carga del tractor: Bajo, medio y alto. Se recomienda utilizar nivel de carga alto para esta operación</t>
  </si>
  <si>
    <t>€/m3</t>
  </si>
  <si>
    <t>Pot accionam. Compresor</t>
  </si>
  <si>
    <t>-          Potencia de accionamiento: Es un valor que que se ha relacionado con la capacidad de la cisterna (3 kW/m3)</t>
  </si>
  <si>
    <t>-          Coste de combustible: 1,00 €/L</t>
  </si>
  <si>
    <t>-          Precio de adquisición: Estimado en 1800 €/m3</t>
  </si>
  <si>
    <t>-          Interés: 5 %</t>
  </si>
  <si>
    <r>
      <t>m</t>
    </r>
    <r>
      <rPr>
        <b/>
        <vertAlign val="superscript"/>
        <sz val="11"/>
        <rFont val="Arial"/>
        <family val="2"/>
      </rPr>
      <t>3</t>
    </r>
  </si>
  <si>
    <r>
      <t>Capacidad de la cisterna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</si>
  <si>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kg/m</t>
    </r>
    <r>
      <rPr>
        <b/>
        <vertAlign val="superscript"/>
        <sz val="11"/>
        <rFont val="Arial"/>
        <family val="2"/>
      </rPr>
      <t>3</t>
    </r>
  </si>
  <si>
    <r>
      <t>kW/m</t>
    </r>
    <r>
      <rPr>
        <b/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</si>
</sst>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0"/>
    </font>
    <font>
      <u val="single"/>
      <sz val="9"/>
      <name val="Arial"/>
      <family val="0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42"/>
      <name val="Arial"/>
      <family val="2"/>
    </font>
    <font>
      <b/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0" fillId="33" borderId="0" xfId="0" applyNumberForma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6" fillId="34" borderId="0" xfId="0" applyNumberFormat="1" applyFont="1" applyFill="1" applyAlignment="1">
      <alignment horizontal="justify" wrapText="1"/>
    </xf>
    <xf numFmtId="49" fontId="4" fillId="33" borderId="0" xfId="0" applyNumberFormat="1" applyFont="1" applyFill="1" applyAlignment="1">
      <alignment horizontal="justify" wrapText="1"/>
    </xf>
    <xf numFmtId="49" fontId="0" fillId="0" borderId="0" xfId="0" applyNumberFormat="1" applyAlignment="1">
      <alignment horizontal="justify" wrapText="1"/>
    </xf>
    <xf numFmtId="49" fontId="0" fillId="34" borderId="0" xfId="0" applyNumberForma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4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2" fontId="4" fillId="33" borderId="0" xfId="0" applyNumberFormat="1" applyFont="1" applyFill="1" applyBorder="1" applyAlignment="1" applyProtection="1">
      <alignment horizontal="center"/>
      <protection hidden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0" fontId="15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5" fontId="7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>
      <alignment/>
    </xf>
    <xf numFmtId="0" fontId="4" fillId="33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4" fillId="35" borderId="18" xfId="0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4" fillId="33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Border="1" applyAlignment="1">
      <alignment/>
    </xf>
    <xf numFmtId="2" fontId="13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64" fontId="16" fillId="33" borderId="0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15" fillId="33" borderId="22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164" fontId="16" fillId="33" borderId="16" xfId="0" applyNumberFormat="1" applyFont="1" applyFill="1" applyBorder="1" applyAlignment="1" applyProtection="1">
      <alignment horizontal="center"/>
      <protection hidden="1"/>
    </xf>
    <xf numFmtId="0" fontId="15" fillId="33" borderId="17" xfId="0" applyFont="1" applyFill="1" applyBorder="1" applyAlignment="1">
      <alignment horizontal="center"/>
    </xf>
    <xf numFmtId="165" fontId="4" fillId="34" borderId="14" xfId="0" applyNumberFormat="1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13" fillId="33" borderId="15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 hidden="1" locked="0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3" fontId="4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/>
    </xf>
    <xf numFmtId="3" fontId="4" fillId="34" borderId="14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2" fontId="4" fillId="33" borderId="20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22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2" fontId="15" fillId="33" borderId="16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2" fontId="4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/>
      <protection hidden="1"/>
    </xf>
    <xf numFmtId="0" fontId="19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2" fontId="16" fillId="34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4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6" borderId="23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4" fillId="37" borderId="23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/>
    </xf>
    <xf numFmtId="2" fontId="14" fillId="37" borderId="23" xfId="0" applyNumberFormat="1" applyFont="1" applyFill="1" applyBorder="1" applyAlignment="1" applyProtection="1">
      <alignment horizontal="center" vertical="center"/>
      <protection hidden="1"/>
    </xf>
    <xf numFmtId="2" fontId="14" fillId="37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/>
    </xf>
    <xf numFmtId="0" fontId="14" fillId="37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5.emf" /><Relationship Id="rId6" Type="http://schemas.openxmlformats.org/officeDocument/2006/relationships/image" Target="../media/image9.emf" /><Relationship Id="rId7" Type="http://schemas.openxmlformats.org/officeDocument/2006/relationships/image" Target="../media/image17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9.emf" /><Relationship Id="rId12" Type="http://schemas.openxmlformats.org/officeDocument/2006/relationships/image" Target="../media/image11.emf" /><Relationship Id="rId13" Type="http://schemas.openxmlformats.org/officeDocument/2006/relationships/image" Target="../media/image14.emf" /><Relationship Id="rId14" Type="http://schemas.openxmlformats.org/officeDocument/2006/relationships/image" Target="../media/image1.emf" /><Relationship Id="rId15" Type="http://schemas.openxmlformats.org/officeDocument/2006/relationships/image" Target="../media/image20.emf" /><Relationship Id="rId16" Type="http://schemas.openxmlformats.org/officeDocument/2006/relationships/image" Target="../media/image2.emf" /><Relationship Id="rId17" Type="http://schemas.openxmlformats.org/officeDocument/2006/relationships/image" Target="../media/image12.emf" /><Relationship Id="rId18" Type="http://schemas.openxmlformats.org/officeDocument/2006/relationships/image" Target="../media/image16.emf" /><Relationship Id="rId19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13</xdr:row>
      <xdr:rowOff>161925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066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28575</xdr:rowOff>
    </xdr:from>
    <xdr:to>
      <xdr:col>7</xdr:col>
      <xdr:colOff>266700</xdr:colOff>
      <xdr:row>14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22860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21</xdr:row>
      <xdr:rowOff>19050</xdr:rowOff>
    </xdr:from>
    <xdr:to>
      <xdr:col>7</xdr:col>
      <xdr:colOff>266700</xdr:colOff>
      <xdr:row>22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743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22</xdr:row>
      <xdr:rowOff>28575</xdr:rowOff>
    </xdr:from>
    <xdr:to>
      <xdr:col>7</xdr:col>
      <xdr:colOff>266700</xdr:colOff>
      <xdr:row>23</xdr:row>
      <xdr:rowOff>9525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48175" y="39624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23</xdr:row>
      <xdr:rowOff>38100</xdr:rowOff>
    </xdr:from>
    <xdr:to>
      <xdr:col>7</xdr:col>
      <xdr:colOff>266700</xdr:colOff>
      <xdr:row>24</xdr:row>
      <xdr:rowOff>19050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4181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26</xdr:row>
      <xdr:rowOff>9525</xdr:rowOff>
    </xdr:from>
    <xdr:to>
      <xdr:col>7</xdr:col>
      <xdr:colOff>257175</xdr:colOff>
      <xdr:row>26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4781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9525</xdr:rowOff>
    </xdr:from>
    <xdr:to>
      <xdr:col>7</xdr:col>
      <xdr:colOff>257175</xdr:colOff>
      <xdr:row>27</xdr:row>
      <xdr:rowOff>142875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8650" y="4991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28</xdr:row>
      <xdr:rowOff>28575</xdr:rowOff>
    </xdr:from>
    <xdr:to>
      <xdr:col>7</xdr:col>
      <xdr:colOff>257175</xdr:colOff>
      <xdr:row>29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38650" y="5219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19050</xdr:rowOff>
    </xdr:from>
    <xdr:to>
      <xdr:col>7</xdr:col>
      <xdr:colOff>276225</xdr:colOff>
      <xdr:row>18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57700" y="2905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18</xdr:row>
      <xdr:rowOff>28575</xdr:rowOff>
    </xdr:from>
    <xdr:to>
      <xdr:col>7</xdr:col>
      <xdr:colOff>276225</xdr:colOff>
      <xdr:row>19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48175" y="31242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31</xdr:row>
      <xdr:rowOff>9525</xdr:rowOff>
    </xdr:from>
    <xdr:to>
      <xdr:col>7</xdr:col>
      <xdr:colOff>257175</xdr:colOff>
      <xdr:row>31</xdr:row>
      <xdr:rowOff>142875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38650" y="5829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32</xdr:row>
      <xdr:rowOff>9525</xdr:rowOff>
    </xdr:from>
    <xdr:to>
      <xdr:col>7</xdr:col>
      <xdr:colOff>257175</xdr:colOff>
      <xdr:row>32</xdr:row>
      <xdr:rowOff>142875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38650" y="6038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33</xdr:row>
      <xdr:rowOff>9525</xdr:rowOff>
    </xdr:from>
    <xdr:to>
      <xdr:col>7</xdr:col>
      <xdr:colOff>257175</xdr:colOff>
      <xdr:row>33</xdr:row>
      <xdr:rowOff>142875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38650" y="624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34</xdr:row>
      <xdr:rowOff>9525</xdr:rowOff>
    </xdr:from>
    <xdr:to>
      <xdr:col>7</xdr:col>
      <xdr:colOff>257175</xdr:colOff>
      <xdr:row>34</xdr:row>
      <xdr:rowOff>142875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38650" y="6457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9525</xdr:rowOff>
    </xdr:from>
    <xdr:to>
      <xdr:col>1</xdr:col>
      <xdr:colOff>257175</xdr:colOff>
      <xdr:row>62</xdr:row>
      <xdr:rowOff>0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21158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62</xdr:row>
      <xdr:rowOff>9525</xdr:rowOff>
    </xdr:from>
    <xdr:to>
      <xdr:col>1</xdr:col>
      <xdr:colOff>257175</xdr:colOff>
      <xdr:row>62</xdr:row>
      <xdr:rowOff>142875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12325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19050</xdr:rowOff>
    </xdr:from>
    <xdr:to>
      <xdr:col>7</xdr:col>
      <xdr:colOff>238125</xdr:colOff>
      <xdr:row>47</xdr:row>
      <xdr:rowOff>9525</xdr:rowOff>
    </xdr:to>
    <xdr:pic>
      <xdr:nvPicPr>
        <xdr:cNvPr id="18" name="OptionButton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19600" y="89820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47</xdr:row>
      <xdr:rowOff>38100</xdr:rowOff>
    </xdr:from>
    <xdr:to>
      <xdr:col>7</xdr:col>
      <xdr:colOff>238125</xdr:colOff>
      <xdr:row>48</xdr:row>
      <xdr:rowOff>19050</xdr:rowOff>
    </xdr:to>
    <xdr:pic>
      <xdr:nvPicPr>
        <xdr:cNvPr id="19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19600" y="921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AG75"/>
  <sheetViews>
    <sheetView showZeros="0" tabSelected="1" zoomScalePageLayoutView="0" workbookViewId="0" topLeftCell="A1">
      <selection activeCell="I57" sqref="I57"/>
    </sheetView>
  </sheetViews>
  <sheetFormatPr defaultColWidth="11.421875" defaultRowHeight="12.75"/>
  <cols>
    <col min="1" max="1" width="2.8515625" style="11" customWidth="1"/>
    <col min="2" max="2" width="5.421875" style="11" customWidth="1"/>
    <col min="3" max="3" width="22.7109375" style="11" customWidth="1"/>
    <col min="4" max="4" width="12.57421875" style="12" customWidth="1"/>
    <col min="5" max="5" width="7.7109375" style="12" customWidth="1"/>
    <col min="6" max="6" width="7.00390625" style="11" customWidth="1"/>
    <col min="7" max="7" width="6.57421875" style="13" customWidth="1"/>
    <col min="8" max="8" width="4.140625" style="11" customWidth="1"/>
    <col min="9" max="9" width="10.7109375" style="11" customWidth="1"/>
    <col min="10" max="10" width="19.28125" style="11" customWidth="1"/>
    <col min="11" max="12" width="5.7109375" style="11" customWidth="1"/>
    <col min="13" max="13" width="15.7109375" style="14" customWidth="1"/>
    <col min="14" max="14" width="10.7109375" style="14" customWidth="1"/>
    <col min="15" max="15" width="8.140625" style="14" customWidth="1"/>
    <col min="16" max="16" width="10.421875" style="14" customWidth="1"/>
    <col min="17" max="17" width="7.140625" style="14" customWidth="1"/>
    <col min="18" max="18" width="10.421875" style="14" customWidth="1"/>
    <col min="19" max="19" width="9.57421875" style="14" customWidth="1"/>
    <col min="20" max="28" width="7.140625" style="14" customWidth="1"/>
    <col min="29" max="29" width="11.421875" style="14" customWidth="1"/>
    <col min="30" max="30" width="11.421875" style="15" hidden="1" customWidth="1"/>
    <col min="31" max="44" width="11.421875" style="14" customWidth="1"/>
    <col min="45" max="16384" width="11.57421875" style="11" customWidth="1"/>
  </cols>
  <sheetData>
    <row r="1" ht="14.25"/>
    <row r="2" ht="12" customHeight="1"/>
    <row r="3" ht="12" customHeight="1"/>
    <row r="4" ht="11.25" customHeight="1"/>
    <row r="5" ht="11.25" customHeight="1"/>
    <row r="6" ht="14.25"/>
    <row r="7" ht="8.25" customHeight="1"/>
    <row r="8" ht="5.25" customHeight="1"/>
    <row r="9" spans="1:11" ht="14.25">
      <c r="A9" s="16"/>
      <c r="B9" s="17"/>
      <c r="C9" s="17"/>
      <c r="D9" s="18"/>
      <c r="E9" s="18"/>
      <c r="F9" s="17"/>
      <c r="G9" s="17"/>
      <c r="H9" s="19"/>
      <c r="I9" s="17"/>
      <c r="J9" s="17"/>
      <c r="K9" s="20"/>
    </row>
    <row r="10" spans="1:14" ht="12.75" customHeight="1">
      <c r="A10" s="21"/>
      <c r="B10" s="22"/>
      <c r="C10" s="23" t="s">
        <v>0</v>
      </c>
      <c r="D10" s="24" t="s">
        <v>77</v>
      </c>
      <c r="E10" s="25"/>
      <c r="F10" s="26"/>
      <c r="G10" s="26"/>
      <c r="H10" s="27"/>
      <c r="I10" s="22"/>
      <c r="J10" s="22"/>
      <c r="K10" s="28"/>
      <c r="M10" s="157" t="s">
        <v>89</v>
      </c>
      <c r="N10" s="158"/>
    </row>
    <row r="11" spans="1:13" ht="12.75" customHeight="1">
      <c r="A11" s="21"/>
      <c r="B11" s="22"/>
      <c r="C11" s="23" t="s">
        <v>1</v>
      </c>
      <c r="D11" s="30" t="s">
        <v>79</v>
      </c>
      <c r="E11" s="31"/>
      <c r="F11" s="31"/>
      <c r="G11" s="32"/>
      <c r="H11" s="22"/>
      <c r="I11" s="22"/>
      <c r="J11" s="22"/>
      <c r="K11" s="33"/>
      <c r="M11" s="34"/>
    </row>
    <row r="12" spans="1:30" ht="16.5" customHeight="1">
      <c r="A12" s="21"/>
      <c r="B12" s="22"/>
      <c r="C12" s="22"/>
      <c r="D12" s="31"/>
      <c r="E12" s="31"/>
      <c r="F12" s="31"/>
      <c r="G12" s="32"/>
      <c r="H12" s="22"/>
      <c r="I12" s="22"/>
      <c r="J12" s="22"/>
      <c r="K12" s="33"/>
      <c r="M12" s="34"/>
      <c r="AD12" s="15" t="b">
        <v>1</v>
      </c>
    </row>
    <row r="13" spans="1:33" ht="16.5" customHeight="1">
      <c r="A13" s="21"/>
      <c r="B13" s="159" t="s">
        <v>78</v>
      </c>
      <c r="C13" s="160"/>
      <c r="D13" s="35">
        <f>IF(AD12=TRUE,J14,IF(AD13=TRUE,J15,))</f>
        <v>5</v>
      </c>
      <c r="E13" s="36" t="s">
        <v>128</v>
      </c>
      <c r="F13" s="22"/>
      <c r="G13" s="22"/>
      <c r="H13" s="27"/>
      <c r="I13" s="161" t="s">
        <v>129</v>
      </c>
      <c r="J13" s="162"/>
      <c r="K13" s="37"/>
      <c r="M13" s="34"/>
      <c r="AD13" s="15" t="b">
        <v>0</v>
      </c>
      <c r="AG13" s="38"/>
    </row>
    <row r="14" spans="1:13" ht="16.5" customHeight="1">
      <c r="A14" s="21"/>
      <c r="B14" s="147" t="s">
        <v>80</v>
      </c>
      <c r="C14" s="148"/>
      <c r="D14" s="41">
        <v>950</v>
      </c>
      <c r="E14" s="42" t="s">
        <v>130</v>
      </c>
      <c r="F14" s="22"/>
      <c r="G14" s="22"/>
      <c r="H14" s="43"/>
      <c r="I14" s="44" t="s">
        <v>2</v>
      </c>
      <c r="J14" s="45">
        <v>5</v>
      </c>
      <c r="K14" s="37"/>
      <c r="M14" s="34"/>
    </row>
    <row r="15" spans="1:13" ht="16.5" customHeight="1">
      <c r="A15" s="21"/>
      <c r="B15" s="147" t="s">
        <v>74</v>
      </c>
      <c r="C15" s="148"/>
      <c r="D15" s="41">
        <f>IF(AD16=TRUE,J18,IF(AD17=TRUE,J19))</f>
        <v>7</v>
      </c>
      <c r="E15" s="42" t="s">
        <v>4</v>
      </c>
      <c r="F15" s="22"/>
      <c r="G15" s="22"/>
      <c r="H15" s="43"/>
      <c r="I15" s="44" t="s">
        <v>5</v>
      </c>
      <c r="J15" s="45">
        <v>10</v>
      </c>
      <c r="K15" s="37"/>
      <c r="M15" s="34"/>
    </row>
    <row r="16" spans="1:30" ht="16.5" customHeight="1">
      <c r="A16" s="21"/>
      <c r="B16" s="147" t="s">
        <v>51</v>
      </c>
      <c r="C16" s="148"/>
      <c r="D16" s="46">
        <v>3.5</v>
      </c>
      <c r="E16" s="42" t="s">
        <v>73</v>
      </c>
      <c r="F16" s="22"/>
      <c r="G16" s="22"/>
      <c r="H16" s="27"/>
      <c r="I16" s="22"/>
      <c r="J16" s="25"/>
      <c r="K16" s="37"/>
      <c r="M16" s="34"/>
      <c r="AD16" s="15" t="b">
        <v>1</v>
      </c>
    </row>
    <row r="17" spans="1:33" ht="16.5" customHeight="1">
      <c r="A17" s="21"/>
      <c r="B17" s="47"/>
      <c r="C17" s="48"/>
      <c r="D17" s="46"/>
      <c r="E17" s="49"/>
      <c r="F17" s="22"/>
      <c r="G17" s="22"/>
      <c r="H17" s="27"/>
      <c r="I17" s="161" t="s">
        <v>75</v>
      </c>
      <c r="J17" s="162"/>
      <c r="K17" s="28"/>
      <c r="M17" s="34"/>
      <c r="AD17" s="15" t="b">
        <v>0</v>
      </c>
      <c r="AG17" s="38"/>
    </row>
    <row r="18" spans="1:13" ht="16.5" customHeight="1">
      <c r="A18" s="21"/>
      <c r="B18" s="147" t="s">
        <v>49</v>
      </c>
      <c r="C18" s="148"/>
      <c r="D18" s="46">
        <v>4</v>
      </c>
      <c r="E18" s="42" t="s">
        <v>6</v>
      </c>
      <c r="F18" s="22"/>
      <c r="G18" s="22"/>
      <c r="H18" s="43"/>
      <c r="I18" s="44" t="s">
        <v>2</v>
      </c>
      <c r="J18" s="50">
        <v>7</v>
      </c>
      <c r="K18" s="37"/>
      <c r="M18" s="34"/>
    </row>
    <row r="19" spans="1:13" ht="16.5" customHeight="1">
      <c r="A19" s="21"/>
      <c r="B19" s="147" t="s">
        <v>59</v>
      </c>
      <c r="C19" s="148"/>
      <c r="D19" s="46">
        <v>0.2</v>
      </c>
      <c r="E19" s="42"/>
      <c r="F19" s="22"/>
      <c r="G19" s="22"/>
      <c r="H19" s="43"/>
      <c r="I19" s="44" t="s">
        <v>5</v>
      </c>
      <c r="J19" s="50">
        <v>12</v>
      </c>
      <c r="K19" s="37"/>
      <c r="M19" s="34"/>
    </row>
    <row r="20" spans="1:13" ht="16.5" customHeight="1">
      <c r="A20" s="21"/>
      <c r="B20" s="147" t="s">
        <v>50</v>
      </c>
      <c r="C20" s="148"/>
      <c r="D20" s="41">
        <f>(D13*D14+D16*0.001)*D19*9.8*D18/3600</f>
        <v>10.344452066666667</v>
      </c>
      <c r="E20" s="42" t="s">
        <v>41</v>
      </c>
      <c r="F20" s="22"/>
      <c r="G20" s="22"/>
      <c r="H20" s="27"/>
      <c r="I20" s="22"/>
      <c r="J20" s="22"/>
      <c r="K20" s="37"/>
      <c r="M20" s="34"/>
    </row>
    <row r="21" spans="1:30" ht="16.5" customHeight="1">
      <c r="A21" s="21"/>
      <c r="B21" s="147" t="s">
        <v>123</v>
      </c>
      <c r="C21" s="148"/>
      <c r="D21" s="51">
        <v>3</v>
      </c>
      <c r="E21" s="42" t="s">
        <v>131</v>
      </c>
      <c r="F21" s="22"/>
      <c r="G21" s="22"/>
      <c r="H21" s="27"/>
      <c r="I21" s="161" t="s">
        <v>7</v>
      </c>
      <c r="J21" s="162"/>
      <c r="K21" s="37"/>
      <c r="L21" s="52"/>
      <c r="M21" s="34"/>
      <c r="AD21" s="15" t="b">
        <v>0</v>
      </c>
    </row>
    <row r="22" spans="1:30" ht="16.5" customHeight="1">
      <c r="A22" s="21"/>
      <c r="B22" s="147" t="s">
        <v>57</v>
      </c>
      <c r="C22" s="148"/>
      <c r="D22" s="41">
        <f>D20+D21*D13</f>
        <v>25.34445206666667</v>
      </c>
      <c r="E22" s="42" t="s">
        <v>41</v>
      </c>
      <c r="F22" s="22"/>
      <c r="G22" s="22"/>
      <c r="H22" s="43"/>
      <c r="I22" s="44" t="s">
        <v>2</v>
      </c>
      <c r="J22" s="45">
        <v>0.6</v>
      </c>
      <c r="K22" s="37"/>
      <c r="L22" s="52"/>
      <c r="M22" s="34"/>
      <c r="AD22" s="15" t="b">
        <v>1</v>
      </c>
    </row>
    <row r="23" spans="1:30" ht="16.5" customHeight="1">
      <c r="A23" s="21"/>
      <c r="B23" s="39"/>
      <c r="C23" s="40"/>
      <c r="D23" s="41">
        <f>D22*1.36</f>
        <v>34.46845481066667</v>
      </c>
      <c r="E23" s="42" t="s">
        <v>12</v>
      </c>
      <c r="F23" s="22"/>
      <c r="G23" s="22"/>
      <c r="H23" s="43"/>
      <c r="I23" s="44" t="s">
        <v>3</v>
      </c>
      <c r="J23" s="45">
        <v>0.7</v>
      </c>
      <c r="K23" s="37"/>
      <c r="L23" s="52"/>
      <c r="M23" s="170" t="s">
        <v>71</v>
      </c>
      <c r="N23" s="170"/>
      <c r="AD23" s="15" t="b">
        <v>0</v>
      </c>
    </row>
    <row r="24" spans="1:12" ht="16.5" customHeight="1">
      <c r="A24" s="21"/>
      <c r="B24" s="147" t="s">
        <v>81</v>
      </c>
      <c r="C24" s="148"/>
      <c r="D24" s="41">
        <f>D23/0.75</f>
        <v>45.957939747555564</v>
      </c>
      <c r="E24" s="42" t="s">
        <v>12</v>
      </c>
      <c r="F24" s="22"/>
      <c r="G24" s="22"/>
      <c r="H24" s="43"/>
      <c r="I24" s="44" t="s">
        <v>5</v>
      </c>
      <c r="J24" s="45">
        <v>0.8</v>
      </c>
      <c r="K24" s="37"/>
      <c r="L24" s="52"/>
    </row>
    <row r="25" spans="1:19" ht="16.5" customHeight="1">
      <c r="A25" s="21"/>
      <c r="B25" s="47"/>
      <c r="C25" s="48"/>
      <c r="D25" s="41"/>
      <c r="E25" s="42"/>
      <c r="F25" s="22"/>
      <c r="G25" s="22"/>
      <c r="H25" s="27"/>
      <c r="I25" s="22"/>
      <c r="J25" s="22"/>
      <c r="K25" s="37"/>
      <c r="M25" s="34"/>
      <c r="S25" s="53"/>
    </row>
    <row r="26" spans="1:19" ht="16.5" customHeight="1">
      <c r="A26" s="21"/>
      <c r="B26" s="147" t="s">
        <v>68</v>
      </c>
      <c r="C26" s="148"/>
      <c r="D26" s="54">
        <f>10/(D15*D18)</f>
        <v>0.35714285714285715</v>
      </c>
      <c r="E26" s="42" t="s">
        <v>8</v>
      </c>
      <c r="F26" s="22"/>
      <c r="G26" s="22"/>
      <c r="H26" s="27"/>
      <c r="I26" s="161" t="s">
        <v>11</v>
      </c>
      <c r="J26" s="162"/>
      <c r="K26" s="28"/>
      <c r="L26" s="52"/>
      <c r="M26" s="173" t="s">
        <v>55</v>
      </c>
      <c r="N26" s="173"/>
      <c r="O26" s="34"/>
      <c r="P26" s="34"/>
      <c r="Q26" s="53"/>
      <c r="R26" s="53"/>
      <c r="S26" s="53"/>
    </row>
    <row r="27" spans="1:30" ht="16.5" customHeight="1">
      <c r="A27" s="21"/>
      <c r="B27" s="147" t="s">
        <v>9</v>
      </c>
      <c r="C27" s="148"/>
      <c r="D27" s="46">
        <f>IF(AD21=TRUE,J22,IF(AD22=TRUE,J23,IF(AD23=TRUE,J24)))</f>
        <v>0.7</v>
      </c>
      <c r="E27" s="49"/>
      <c r="F27" s="22"/>
      <c r="G27" s="22"/>
      <c r="H27" s="43"/>
      <c r="I27" s="44" t="s">
        <v>60</v>
      </c>
      <c r="J27" s="45">
        <v>25</v>
      </c>
      <c r="K27" s="37"/>
      <c r="L27" s="52"/>
      <c r="N27" s="14" t="s">
        <v>52</v>
      </c>
      <c r="O27" s="34"/>
      <c r="P27" s="34"/>
      <c r="Q27" s="53"/>
      <c r="R27" s="53"/>
      <c r="AD27" s="15" t="b">
        <v>0</v>
      </c>
    </row>
    <row r="28" spans="1:30" ht="16.5" customHeight="1">
      <c r="A28" s="21"/>
      <c r="B28" s="171" t="s">
        <v>69</v>
      </c>
      <c r="C28" s="172"/>
      <c r="D28" s="57">
        <f>D26/D27</f>
        <v>0.5102040816326531</v>
      </c>
      <c r="E28" s="58" t="s">
        <v>8</v>
      </c>
      <c r="F28" s="22"/>
      <c r="G28" s="22"/>
      <c r="H28" s="43"/>
      <c r="I28" s="44" t="s">
        <v>61</v>
      </c>
      <c r="J28" s="45">
        <v>50</v>
      </c>
      <c r="K28" s="37"/>
      <c r="L28" s="52"/>
      <c r="M28" s="14" t="s">
        <v>53</v>
      </c>
      <c r="N28" s="34" t="s">
        <v>76</v>
      </c>
      <c r="O28" s="34"/>
      <c r="Q28" s="53"/>
      <c r="R28" s="53"/>
      <c r="AD28" s="15" t="b">
        <v>0</v>
      </c>
    </row>
    <row r="29" spans="1:30" ht="16.5" customHeight="1">
      <c r="A29" s="21"/>
      <c r="B29" s="59"/>
      <c r="C29" s="60"/>
      <c r="D29" s="57">
        <f>1/D28</f>
        <v>1.96</v>
      </c>
      <c r="E29" s="58" t="s">
        <v>10</v>
      </c>
      <c r="F29" s="22"/>
      <c r="G29" s="22"/>
      <c r="H29" s="43"/>
      <c r="I29" s="61" t="s">
        <v>62</v>
      </c>
      <c r="J29" s="62">
        <v>75</v>
      </c>
      <c r="K29" s="37"/>
      <c r="L29" s="52"/>
      <c r="M29" s="14" t="s">
        <v>54</v>
      </c>
      <c r="N29" s="34" t="s">
        <v>72</v>
      </c>
      <c r="O29" s="34"/>
      <c r="P29" s="34"/>
      <c r="Q29" s="53"/>
      <c r="R29" s="53"/>
      <c r="T29" s="53"/>
      <c r="U29" s="53"/>
      <c r="V29" s="53"/>
      <c r="AD29" s="15" t="b">
        <v>1</v>
      </c>
    </row>
    <row r="30" spans="1:22" ht="16.5" customHeight="1">
      <c r="A30" s="21"/>
      <c r="B30" s="59"/>
      <c r="C30" s="63"/>
      <c r="D30" s="46"/>
      <c r="E30" s="49"/>
      <c r="F30" s="22"/>
      <c r="G30" s="22"/>
      <c r="H30" s="27"/>
      <c r="I30" s="22"/>
      <c r="J30" s="22"/>
      <c r="K30" s="37"/>
      <c r="L30" s="52"/>
      <c r="M30" s="64"/>
      <c r="N30" s="64"/>
      <c r="T30" s="53"/>
      <c r="U30" s="53"/>
      <c r="V30" s="53"/>
    </row>
    <row r="31" spans="1:27" ht="16.5" customHeight="1">
      <c r="A31" s="21"/>
      <c r="B31" s="147" t="s">
        <v>56</v>
      </c>
      <c r="C31" s="148"/>
      <c r="D31" s="46">
        <f>IF(AD27=TRUE,J27,IF(AD28=TRUE,J28,IF(AD29=TRUE,J29)))</f>
        <v>75</v>
      </c>
      <c r="E31" s="42" t="s">
        <v>13</v>
      </c>
      <c r="F31" s="22"/>
      <c r="G31" s="22"/>
      <c r="H31" s="27"/>
      <c r="I31" s="161" t="s">
        <v>15</v>
      </c>
      <c r="J31" s="162"/>
      <c r="K31" s="28"/>
      <c r="L31" s="52"/>
      <c r="T31" s="65"/>
      <c r="U31" s="65"/>
      <c r="V31" s="65"/>
      <c r="W31" s="65"/>
      <c r="X31" s="65"/>
      <c r="Y31" s="65"/>
      <c r="Z31" s="65"/>
      <c r="AA31" s="65"/>
    </row>
    <row r="32" spans="1:29" ht="16.5" customHeight="1">
      <c r="A32" s="21"/>
      <c r="B32" s="147" t="s">
        <v>14</v>
      </c>
      <c r="C32" s="148"/>
      <c r="D32" s="41">
        <f>D24*100/D31</f>
        <v>61.277252996740756</v>
      </c>
      <c r="E32" s="42" t="s">
        <v>12</v>
      </c>
      <c r="F32" s="22"/>
      <c r="G32" s="22"/>
      <c r="H32" s="43"/>
      <c r="I32" s="66" t="s">
        <v>58</v>
      </c>
      <c r="J32" s="45">
        <v>90</v>
      </c>
      <c r="K32" s="37"/>
      <c r="L32" s="52"/>
      <c r="M32" s="164" t="s">
        <v>90</v>
      </c>
      <c r="N32" s="164"/>
      <c r="O32" s="164"/>
      <c r="P32" s="67"/>
      <c r="Q32" s="67"/>
      <c r="R32" s="67"/>
      <c r="T32" s="65"/>
      <c r="U32" s="65"/>
      <c r="V32" s="65"/>
      <c r="W32" s="34"/>
      <c r="X32" s="34"/>
      <c r="Y32" s="34"/>
      <c r="Z32" s="34"/>
      <c r="AA32" s="34"/>
      <c r="AB32" s="53"/>
      <c r="AC32" s="53"/>
    </row>
    <row r="33" spans="1:30" ht="16.5" customHeight="1">
      <c r="A33" s="21"/>
      <c r="B33" s="47"/>
      <c r="C33" s="48"/>
      <c r="D33" s="46"/>
      <c r="E33" s="49"/>
      <c r="F33" s="22"/>
      <c r="G33" s="22"/>
      <c r="H33" s="43"/>
      <c r="I33" s="44" t="s">
        <v>16</v>
      </c>
      <c r="J33" s="45">
        <v>120</v>
      </c>
      <c r="K33" s="37"/>
      <c r="L33" s="52"/>
      <c r="M33" s="165" t="s">
        <v>83</v>
      </c>
      <c r="N33" s="68">
        <f>D35</f>
        <v>120</v>
      </c>
      <c r="O33" s="67" t="s">
        <v>12</v>
      </c>
      <c r="P33" s="67"/>
      <c r="Q33" s="67"/>
      <c r="R33" s="67"/>
      <c r="T33" s="65"/>
      <c r="U33" s="65"/>
      <c r="V33" s="65"/>
      <c r="W33" s="65"/>
      <c r="X33" s="65"/>
      <c r="Y33" s="65"/>
      <c r="Z33" s="65"/>
      <c r="AA33" s="65"/>
      <c r="AB33" s="53"/>
      <c r="AC33" s="53"/>
      <c r="AD33" s="15" t="b">
        <v>0</v>
      </c>
    </row>
    <row r="34" spans="1:30" ht="16.5" customHeight="1">
      <c r="A34" s="21"/>
      <c r="B34" s="147" t="s">
        <v>82</v>
      </c>
      <c r="C34" s="148"/>
      <c r="D34" s="46" t="str">
        <f>IF(AD33=TRUE,"Pequeño",IF(AD34=TRUE,"Mediano",IF(AD35=TRUE,"Grande",IF(AD36=TRUE,"Muy Grande",))))</f>
        <v>Mediano</v>
      </c>
      <c r="E34" s="42"/>
      <c r="F34" s="22"/>
      <c r="G34" s="22"/>
      <c r="H34" s="43"/>
      <c r="I34" s="44" t="s">
        <v>17</v>
      </c>
      <c r="J34" s="45">
        <v>150</v>
      </c>
      <c r="K34" s="37"/>
      <c r="M34" s="165"/>
      <c r="N34" s="69">
        <f>N33/1.36</f>
        <v>88.23529411764706</v>
      </c>
      <c r="O34" s="67" t="s">
        <v>41</v>
      </c>
      <c r="P34" s="70"/>
      <c r="Q34" s="167" t="s">
        <v>91</v>
      </c>
      <c r="R34" s="167"/>
      <c r="W34" s="65"/>
      <c r="X34" s="65"/>
      <c r="Y34" s="65"/>
      <c r="Z34" s="65"/>
      <c r="AA34" s="65"/>
      <c r="AB34" s="53"/>
      <c r="AC34" s="53"/>
      <c r="AD34" s="15" t="b">
        <v>1</v>
      </c>
    </row>
    <row r="35" spans="1:30" ht="16.5" customHeight="1">
      <c r="A35" s="21"/>
      <c r="B35" s="174" t="s">
        <v>83</v>
      </c>
      <c r="C35" s="175"/>
      <c r="D35" s="71">
        <f>IF(AD33=TRUE,J32,IF(AD34=TRUE,J33,IF(AD35=TRUE,J34,IF(AD36=TRUE,J35,""))))</f>
        <v>120</v>
      </c>
      <c r="E35" s="72" t="s">
        <v>12</v>
      </c>
      <c r="F35" s="22"/>
      <c r="G35" s="22"/>
      <c r="H35" s="43"/>
      <c r="I35" s="44" t="s">
        <v>18</v>
      </c>
      <c r="J35" s="45">
        <v>180</v>
      </c>
      <c r="K35" s="37"/>
      <c r="L35" s="52"/>
      <c r="M35" s="163" t="s">
        <v>92</v>
      </c>
      <c r="N35" s="68">
        <f>+I62</f>
        <v>560</v>
      </c>
      <c r="O35" s="14" t="s">
        <v>44</v>
      </c>
      <c r="P35" s="67"/>
      <c r="Q35" s="167"/>
      <c r="R35" s="167"/>
      <c r="W35" s="65"/>
      <c r="X35" s="65"/>
      <c r="Y35" s="65"/>
      <c r="Z35" s="65"/>
      <c r="AA35" s="65"/>
      <c r="AB35" s="53"/>
      <c r="AC35" s="53"/>
      <c r="AD35" s="15" t="b">
        <v>0</v>
      </c>
    </row>
    <row r="36" spans="1:30" ht="16.5" customHeight="1">
      <c r="A36" s="21"/>
      <c r="B36" s="22"/>
      <c r="C36" s="22"/>
      <c r="D36" s="73"/>
      <c r="E36" s="25"/>
      <c r="F36" s="22"/>
      <c r="G36" s="22"/>
      <c r="H36" s="27"/>
      <c r="I36" s="22"/>
      <c r="J36" s="22"/>
      <c r="K36" s="28"/>
      <c r="L36" s="52"/>
      <c r="M36" s="163"/>
      <c r="N36" s="74">
        <f>N34*N35</f>
        <v>49411.76470588235</v>
      </c>
      <c r="O36" s="14" t="s">
        <v>26</v>
      </c>
      <c r="P36" s="67"/>
      <c r="Q36" s="69" t="s">
        <v>24</v>
      </c>
      <c r="R36" s="75" t="s">
        <v>93</v>
      </c>
      <c r="W36" s="65"/>
      <c r="X36" s="65"/>
      <c r="Y36" s="65"/>
      <c r="Z36" s="65"/>
      <c r="AA36" s="65"/>
      <c r="AD36" s="15" t="b">
        <v>0</v>
      </c>
    </row>
    <row r="37" spans="1:18" ht="16.5" customHeight="1">
      <c r="A37" s="21"/>
      <c r="B37" s="168" t="s">
        <v>63</v>
      </c>
      <c r="C37" s="169"/>
      <c r="D37" s="76"/>
      <c r="E37" s="77"/>
      <c r="F37" s="22"/>
      <c r="G37" s="22"/>
      <c r="H37" s="27"/>
      <c r="I37" s="166" t="s">
        <v>20</v>
      </c>
      <c r="J37" s="162"/>
      <c r="K37" s="37"/>
      <c r="L37" s="52"/>
      <c r="M37" s="163" t="s">
        <v>94</v>
      </c>
      <c r="N37" s="78">
        <v>12000</v>
      </c>
      <c r="O37" s="14" t="s">
        <v>42</v>
      </c>
      <c r="P37" s="67"/>
      <c r="Q37" s="74">
        <v>500</v>
      </c>
      <c r="R37" s="69">
        <f>$N$36/$N$37+$N$36/($N$38*Q37)+($N$36*$N$39*0.6)/(Q37*100)+($N$36*(($N$41+$N$40)/(Q37*100)))+$N$34*$N$43*$N$42</f>
        <v>14.967058823529412</v>
      </c>
    </row>
    <row r="38" spans="1:18" ht="16.5" customHeight="1">
      <c r="A38" s="21"/>
      <c r="B38" s="147" t="s">
        <v>19</v>
      </c>
      <c r="C38" s="148"/>
      <c r="D38" s="54">
        <f>IF(D31=J27,J39*D35/1.36,IF(D31=J28,J40*D35/1.36,IF(D31=J29,J41*D35/1.36)))</f>
        <v>18.26470588235294</v>
      </c>
      <c r="E38" s="42" t="s">
        <v>48</v>
      </c>
      <c r="F38" s="22"/>
      <c r="G38" s="22"/>
      <c r="H38" s="27"/>
      <c r="I38" s="44" t="s">
        <v>22</v>
      </c>
      <c r="J38" s="45" t="s">
        <v>70</v>
      </c>
      <c r="K38" s="37"/>
      <c r="L38" s="52"/>
      <c r="M38" s="163"/>
      <c r="N38" s="34">
        <v>20</v>
      </c>
      <c r="O38" s="14" t="s">
        <v>31</v>
      </c>
      <c r="P38" s="67"/>
      <c r="Q38" s="74">
        <v>1000</v>
      </c>
      <c r="R38" s="69">
        <f>$N$36/$N$37+$N$36/($N$38*Q38)+($N$36*$N$39*0.6)/(Q38*100)+($N$36*(($N$41+$N$40)/(Q38*100)))+$N$34*$N$43*$N$42</f>
        <v>10.865882352941176</v>
      </c>
    </row>
    <row r="39" spans="1:18" ht="16.5" customHeight="1">
      <c r="A39" s="21"/>
      <c r="B39" s="47"/>
      <c r="C39" s="48"/>
      <c r="D39" s="54">
        <f>D38*D28</f>
        <v>9.318727490996398</v>
      </c>
      <c r="E39" s="42" t="s">
        <v>66</v>
      </c>
      <c r="F39" s="22"/>
      <c r="G39" s="22"/>
      <c r="H39" s="22"/>
      <c r="I39" s="44" t="s">
        <v>2</v>
      </c>
      <c r="J39" s="79">
        <v>0.1</v>
      </c>
      <c r="K39" s="37"/>
      <c r="M39" s="29" t="s">
        <v>95</v>
      </c>
      <c r="N39" s="80">
        <f>+D53</f>
        <v>5</v>
      </c>
      <c r="O39" s="14" t="s">
        <v>13</v>
      </c>
      <c r="P39" s="67"/>
      <c r="Q39" s="67"/>
      <c r="R39" s="67"/>
    </row>
    <row r="40" spans="1:29" ht="16.5" customHeight="1">
      <c r="A40" s="21"/>
      <c r="B40" s="147" t="s">
        <v>21</v>
      </c>
      <c r="C40" s="148"/>
      <c r="D40" s="81">
        <f>D38*0.1/100</f>
        <v>0.01826470588235294</v>
      </c>
      <c r="E40" s="42" t="s">
        <v>48</v>
      </c>
      <c r="F40" s="22"/>
      <c r="G40" s="22"/>
      <c r="H40" s="22"/>
      <c r="I40" s="44" t="s">
        <v>3</v>
      </c>
      <c r="J40" s="79">
        <v>0.15</v>
      </c>
      <c r="K40" s="37"/>
      <c r="M40" s="29" t="s">
        <v>45</v>
      </c>
      <c r="N40" s="80">
        <v>0.2</v>
      </c>
      <c r="O40" s="14" t="s">
        <v>13</v>
      </c>
      <c r="P40" s="67"/>
      <c r="Q40" s="67"/>
      <c r="R40" s="67"/>
      <c r="AB40" s="82"/>
      <c r="AC40" s="65"/>
    </row>
    <row r="41" spans="1:28" ht="16.5" customHeight="1">
      <c r="A41" s="21"/>
      <c r="B41" s="59"/>
      <c r="C41" s="63"/>
      <c r="D41" s="81">
        <f>D39*0.1/100</f>
        <v>0.009318727490996399</v>
      </c>
      <c r="E41" s="42" t="s">
        <v>66</v>
      </c>
      <c r="F41" s="22"/>
      <c r="G41" s="22"/>
      <c r="H41" s="22"/>
      <c r="I41" s="44" t="s">
        <v>5</v>
      </c>
      <c r="J41" s="79">
        <v>0.207</v>
      </c>
      <c r="K41" s="37"/>
      <c r="L41" s="52"/>
      <c r="M41" s="29" t="s">
        <v>46</v>
      </c>
      <c r="N41" s="80">
        <v>0.1</v>
      </c>
      <c r="O41" s="14" t="s">
        <v>13</v>
      </c>
      <c r="P41" s="67"/>
      <c r="Q41" s="67"/>
      <c r="R41" s="67"/>
      <c r="AB41" s="69"/>
    </row>
    <row r="42" spans="1:28" ht="16.5" customHeight="1" thickBot="1">
      <c r="A42" s="21"/>
      <c r="B42" s="151" t="s">
        <v>65</v>
      </c>
      <c r="C42" s="152"/>
      <c r="D42" s="83">
        <v>1</v>
      </c>
      <c r="E42" s="84" t="s">
        <v>43</v>
      </c>
      <c r="F42" s="22"/>
      <c r="G42" s="22"/>
      <c r="H42" s="22"/>
      <c r="I42" s="22"/>
      <c r="J42" s="22"/>
      <c r="K42" s="28"/>
      <c r="L42" s="52"/>
      <c r="M42" s="85" t="s">
        <v>96</v>
      </c>
      <c r="N42" s="80">
        <v>0.2</v>
      </c>
      <c r="O42" s="86" t="s">
        <v>43</v>
      </c>
      <c r="P42" s="67"/>
      <c r="Q42" s="67"/>
      <c r="R42" s="67"/>
      <c r="AB42" s="65"/>
    </row>
    <row r="43" spans="1:28" ht="16.5" customHeight="1" thickTop="1">
      <c r="A43" s="21"/>
      <c r="B43" s="55" t="s">
        <v>67</v>
      </c>
      <c r="C43" s="56"/>
      <c r="D43" s="87">
        <f>D42*D38</f>
        <v>18.26470588235294</v>
      </c>
      <c r="E43" s="58" t="s">
        <v>29</v>
      </c>
      <c r="F43" s="22"/>
      <c r="G43" s="22"/>
      <c r="H43" s="22"/>
      <c r="I43" s="22"/>
      <c r="J43" s="22"/>
      <c r="K43" s="37"/>
      <c r="L43" s="52"/>
      <c r="M43" s="85" t="s">
        <v>97</v>
      </c>
      <c r="N43" s="88">
        <v>0.15</v>
      </c>
      <c r="O43" s="89" t="s">
        <v>47</v>
      </c>
      <c r="P43" s="67"/>
      <c r="Q43" s="67"/>
      <c r="R43" s="67"/>
      <c r="AB43" s="34"/>
    </row>
    <row r="44" spans="1:28" ht="16.5" customHeight="1">
      <c r="A44" s="21"/>
      <c r="B44" s="90"/>
      <c r="C44" s="91"/>
      <c r="D44" s="92">
        <f>D39*D42</f>
        <v>9.318727490996398</v>
      </c>
      <c r="E44" s="93" t="s">
        <v>37</v>
      </c>
      <c r="F44" s="22"/>
      <c r="G44" s="22"/>
      <c r="H44" s="22"/>
      <c r="I44" s="22"/>
      <c r="J44" s="22"/>
      <c r="K44" s="37"/>
      <c r="L44" s="52"/>
      <c r="M44" s="85"/>
      <c r="N44" s="88"/>
      <c r="O44" s="89"/>
      <c r="P44" s="67"/>
      <c r="Q44" s="67"/>
      <c r="R44" s="67"/>
      <c r="AB44" s="65"/>
    </row>
    <row r="45" spans="1:28" ht="16.5" customHeight="1">
      <c r="A45" s="21"/>
      <c r="B45" s="22"/>
      <c r="C45" s="22"/>
      <c r="D45" s="73"/>
      <c r="E45" s="25"/>
      <c r="F45" s="22"/>
      <c r="G45" s="22"/>
      <c r="H45" s="22"/>
      <c r="I45" s="22"/>
      <c r="J45" s="22"/>
      <c r="K45" s="94"/>
      <c r="AB45" s="65"/>
    </row>
    <row r="46" spans="1:28" ht="16.5" customHeight="1">
      <c r="A46" s="21"/>
      <c r="B46" s="168" t="s">
        <v>64</v>
      </c>
      <c r="C46" s="169"/>
      <c r="D46" s="76"/>
      <c r="E46" s="95"/>
      <c r="F46" s="96"/>
      <c r="G46" s="97"/>
      <c r="H46" s="22"/>
      <c r="I46" s="176" t="s">
        <v>88</v>
      </c>
      <c r="J46" s="177"/>
      <c r="K46" s="94"/>
      <c r="AB46" s="65"/>
    </row>
    <row r="47" spans="1:28" ht="16.5" customHeight="1">
      <c r="A47" s="21"/>
      <c r="B47" s="147" t="s">
        <v>23</v>
      </c>
      <c r="C47" s="148"/>
      <c r="D47" s="46">
        <f>IF(AD48=TRUE,J47,J48)</f>
        <v>100</v>
      </c>
      <c r="E47" s="98" t="s">
        <v>24</v>
      </c>
      <c r="F47" s="63"/>
      <c r="G47" s="99"/>
      <c r="H47" s="100"/>
      <c r="I47" s="44" t="s">
        <v>2</v>
      </c>
      <c r="J47" s="50">
        <v>100</v>
      </c>
      <c r="K47" s="94"/>
      <c r="AB47" s="65"/>
    </row>
    <row r="48" spans="1:30" ht="16.5" customHeight="1">
      <c r="A48" s="21"/>
      <c r="B48" s="47"/>
      <c r="C48" s="48"/>
      <c r="D48" s="46"/>
      <c r="E48" s="101"/>
      <c r="F48" s="63"/>
      <c r="G48" s="99"/>
      <c r="H48" s="100"/>
      <c r="I48" s="44" t="s">
        <v>5</v>
      </c>
      <c r="J48" s="102">
        <v>200</v>
      </c>
      <c r="K48" s="28"/>
      <c r="AD48" s="15" t="b">
        <v>1</v>
      </c>
    </row>
    <row r="49" spans="1:30" ht="16.5" customHeight="1">
      <c r="A49" s="21"/>
      <c r="B49" s="147" t="s">
        <v>25</v>
      </c>
      <c r="C49" s="148"/>
      <c r="D49" s="103">
        <f>+F49*D13</f>
        <v>10000</v>
      </c>
      <c r="E49" s="98" t="s">
        <v>26</v>
      </c>
      <c r="F49" s="104">
        <v>2000</v>
      </c>
      <c r="G49" s="99" t="s">
        <v>122</v>
      </c>
      <c r="H49" s="22"/>
      <c r="I49" s="22"/>
      <c r="J49" s="22"/>
      <c r="K49" s="37"/>
      <c r="AD49" s="15" t="b">
        <v>0</v>
      </c>
    </row>
    <row r="50" spans="1:11" ht="16.5" customHeight="1">
      <c r="A50" s="21"/>
      <c r="B50" s="59"/>
      <c r="C50" s="63"/>
      <c r="D50" s="105"/>
      <c r="E50" s="101"/>
      <c r="F50" s="63"/>
      <c r="G50" s="99"/>
      <c r="H50" s="22"/>
      <c r="I50" s="22"/>
      <c r="J50" s="22"/>
      <c r="K50" s="37"/>
    </row>
    <row r="51" spans="1:11" ht="16.5" customHeight="1">
      <c r="A51" s="21"/>
      <c r="B51" s="147" t="s">
        <v>27</v>
      </c>
      <c r="C51" s="148"/>
      <c r="D51" s="104">
        <v>2500</v>
      </c>
      <c r="E51" s="98" t="s">
        <v>28</v>
      </c>
      <c r="F51" s="54">
        <f>+$D$49/$D51</f>
        <v>4</v>
      </c>
      <c r="G51" s="106" t="s">
        <v>29</v>
      </c>
      <c r="H51" s="22"/>
      <c r="I51" s="22"/>
      <c r="J51" s="22"/>
      <c r="K51" s="107"/>
    </row>
    <row r="52" spans="1:11" ht="16.5" customHeight="1">
      <c r="A52" s="21"/>
      <c r="B52" s="147" t="s">
        <v>30</v>
      </c>
      <c r="C52" s="148"/>
      <c r="D52" s="108">
        <v>20</v>
      </c>
      <c r="E52" s="98" t="s">
        <v>31</v>
      </c>
      <c r="F52" s="54">
        <f>+$D$49/($D52*D47)</f>
        <v>5</v>
      </c>
      <c r="G52" s="106" t="s">
        <v>29</v>
      </c>
      <c r="H52" s="22"/>
      <c r="I52" s="22"/>
      <c r="J52" s="22"/>
      <c r="K52" s="28"/>
    </row>
    <row r="53" spans="1:11" ht="16.5" customHeight="1">
      <c r="A53" s="21"/>
      <c r="B53" s="147" t="s">
        <v>32</v>
      </c>
      <c r="C53" s="148"/>
      <c r="D53" s="108">
        <v>5</v>
      </c>
      <c r="E53" s="98" t="s">
        <v>13</v>
      </c>
      <c r="F53" s="54">
        <f>+$D$49*0.006*$D53/D47</f>
        <v>3</v>
      </c>
      <c r="G53" s="106" t="s">
        <v>29</v>
      </c>
      <c r="H53" s="22"/>
      <c r="I53" s="183" t="str">
        <f>CONCATENATE("Vida útil para ",D47," h/año")</f>
        <v>Vida útil para 100 h/año</v>
      </c>
      <c r="J53" s="184"/>
      <c r="K53" s="28"/>
    </row>
    <row r="54" spans="1:11" ht="16.5" customHeight="1">
      <c r="A54" s="21"/>
      <c r="B54" s="147" t="s">
        <v>33</v>
      </c>
      <c r="C54" s="148"/>
      <c r="D54" s="108">
        <v>0.2</v>
      </c>
      <c r="E54" s="98" t="s">
        <v>34</v>
      </c>
      <c r="F54" s="54">
        <f>+$D$49*$D54/(100*D47)</f>
        <v>0.2</v>
      </c>
      <c r="G54" s="106" t="s">
        <v>29</v>
      </c>
      <c r="H54" s="22"/>
      <c r="I54" s="109" t="s">
        <v>28</v>
      </c>
      <c r="J54" s="110">
        <f>+$D$49/($F$51+$F$52)</f>
        <v>1111.111111111111</v>
      </c>
      <c r="K54" s="111"/>
    </row>
    <row r="55" spans="1:11" ht="16.5" customHeight="1">
      <c r="A55" s="21"/>
      <c r="B55" s="147" t="s">
        <v>35</v>
      </c>
      <c r="C55" s="148"/>
      <c r="D55" s="108">
        <v>0.1</v>
      </c>
      <c r="E55" s="98" t="s">
        <v>34</v>
      </c>
      <c r="F55" s="54">
        <f>+$D$49*$D55/(D47*100)</f>
        <v>0.1</v>
      </c>
      <c r="G55" s="106" t="s">
        <v>29</v>
      </c>
      <c r="H55" s="22"/>
      <c r="I55" s="109" t="s">
        <v>31</v>
      </c>
      <c r="J55" s="112">
        <f>+$D$49/($D$47*($F$51+$F$52))</f>
        <v>11.11111111111111</v>
      </c>
      <c r="K55" s="113"/>
    </row>
    <row r="56" spans="1:11" ht="16.5" customHeight="1" thickBot="1">
      <c r="A56" s="21"/>
      <c r="B56" s="151" t="s">
        <v>36</v>
      </c>
      <c r="C56" s="152"/>
      <c r="D56" s="83">
        <v>0.9</v>
      </c>
      <c r="E56" s="114" t="s">
        <v>37</v>
      </c>
      <c r="F56" s="115">
        <f>+D56/D28</f>
        <v>1.764</v>
      </c>
      <c r="G56" s="116" t="s">
        <v>29</v>
      </c>
      <c r="H56" s="22"/>
      <c r="I56" s="22"/>
      <c r="J56" s="22"/>
      <c r="K56" s="117"/>
    </row>
    <row r="57" spans="1:11" ht="16.5" customHeight="1" thickTop="1">
      <c r="A57" s="21"/>
      <c r="B57" s="55" t="s">
        <v>38</v>
      </c>
      <c r="C57" s="118"/>
      <c r="D57" s="101"/>
      <c r="E57" s="101"/>
      <c r="F57" s="54">
        <f>SUM(F51:F56)</f>
        <v>14.063999999999998</v>
      </c>
      <c r="G57" s="106" t="s">
        <v>29</v>
      </c>
      <c r="H57" s="22"/>
      <c r="I57" s="22"/>
      <c r="J57" s="22"/>
      <c r="K57" s="28"/>
    </row>
    <row r="58" spans="1:11" ht="16.5" customHeight="1">
      <c r="A58" s="21"/>
      <c r="B58" s="119"/>
      <c r="C58" s="120"/>
      <c r="D58" s="121"/>
      <c r="E58" s="121"/>
      <c r="F58" s="122">
        <f>+F57*D28</f>
        <v>7.175510204081632</v>
      </c>
      <c r="G58" s="123" t="s">
        <v>37</v>
      </c>
      <c r="H58" s="22"/>
      <c r="I58" s="22"/>
      <c r="J58" s="22"/>
      <c r="K58" s="28"/>
    </row>
    <row r="59" spans="1:11" ht="16.5" customHeight="1">
      <c r="A59" s="21"/>
      <c r="B59" s="124"/>
      <c r="C59" s="125"/>
      <c r="D59" s="126"/>
      <c r="E59" s="126"/>
      <c r="F59" s="125"/>
      <c r="G59" s="127"/>
      <c r="H59" s="128"/>
      <c r="I59" s="128"/>
      <c r="J59" s="128"/>
      <c r="K59" s="28"/>
    </row>
    <row r="60" spans="1:11" ht="16.5" customHeight="1">
      <c r="A60" s="21"/>
      <c r="B60" s="153" t="s">
        <v>40</v>
      </c>
      <c r="C60" s="153"/>
      <c r="D60" s="153"/>
      <c r="E60" s="182" t="s">
        <v>98</v>
      </c>
      <c r="F60" s="182"/>
      <c r="G60" s="129"/>
      <c r="H60" s="128"/>
      <c r="I60" s="128"/>
      <c r="J60" s="128"/>
      <c r="K60" s="28"/>
    </row>
    <row r="61" spans="1:11" ht="16.5" customHeight="1">
      <c r="A61" s="21"/>
      <c r="B61" s="149" t="s">
        <v>84</v>
      </c>
      <c r="C61" s="150"/>
      <c r="D61" s="130" t="s">
        <v>85</v>
      </c>
      <c r="E61" s="109" t="s">
        <v>29</v>
      </c>
      <c r="F61" s="109" t="s">
        <v>37</v>
      </c>
      <c r="G61" s="129"/>
      <c r="H61" s="128"/>
      <c r="I61" s="186" t="s">
        <v>103</v>
      </c>
      <c r="J61" s="186"/>
      <c r="K61" s="28"/>
    </row>
    <row r="62" spans="1:11" ht="16.5" customHeight="1">
      <c r="A62" s="21"/>
      <c r="B62" s="44"/>
      <c r="C62" s="44" t="s">
        <v>86</v>
      </c>
      <c r="D62" s="131">
        <f>R37</f>
        <v>14.967058823529412</v>
      </c>
      <c r="E62" s="112">
        <f>IF(AD69=TRUE,D62+D43,D62*0)</f>
        <v>33.23176470588235</v>
      </c>
      <c r="F62" s="132">
        <f>E62*$D$28</f>
        <v>16.954981992797116</v>
      </c>
      <c r="G62" s="133">
        <f>IF(AD69=TRUE,F62,F62*0)</f>
        <v>16.954981992797116</v>
      </c>
      <c r="H62" s="128"/>
      <c r="I62" s="134">
        <v>560</v>
      </c>
      <c r="J62" s="135" t="s">
        <v>104</v>
      </c>
      <c r="K62" s="28"/>
    </row>
    <row r="63" spans="1:11" ht="16.5" customHeight="1">
      <c r="A63" s="21"/>
      <c r="B63" s="44"/>
      <c r="C63" s="44" t="s">
        <v>87</v>
      </c>
      <c r="D63" s="131">
        <f>R38</f>
        <v>10.865882352941176</v>
      </c>
      <c r="E63" s="112">
        <f>IF(AD70=TRUE,D63+D43,D63*0)</f>
        <v>0</v>
      </c>
      <c r="F63" s="132">
        <f>E63*$D$28</f>
        <v>0</v>
      </c>
      <c r="G63" s="133">
        <f>IF(AD70=TRUE,F63,F63*0)</f>
        <v>0</v>
      </c>
      <c r="H63" s="128"/>
      <c r="I63" s="128"/>
      <c r="J63" s="128"/>
      <c r="K63" s="28"/>
    </row>
    <row r="64" spans="1:11" ht="16.5" customHeight="1">
      <c r="A64" s="21"/>
      <c r="B64" s="22"/>
      <c r="C64" s="136"/>
      <c r="D64" s="25"/>
      <c r="E64" s="23"/>
      <c r="F64" s="137"/>
      <c r="G64" s="129"/>
      <c r="H64" s="128"/>
      <c r="I64" s="128"/>
      <c r="J64" s="128"/>
      <c r="K64" s="28"/>
    </row>
    <row r="65" spans="1:11" ht="16.5" customHeight="1">
      <c r="A65" s="21"/>
      <c r="B65" s="154" t="s">
        <v>99</v>
      </c>
      <c r="C65" s="155"/>
      <c r="D65" s="156"/>
      <c r="E65" s="185" t="s">
        <v>38</v>
      </c>
      <c r="F65" s="185"/>
      <c r="G65" s="129"/>
      <c r="H65" s="128"/>
      <c r="I65" s="128"/>
      <c r="J65" s="128"/>
      <c r="K65" s="28"/>
    </row>
    <row r="66" spans="1:11" ht="16.5" customHeight="1">
      <c r="A66" s="21"/>
      <c r="B66" s="149" t="s">
        <v>84</v>
      </c>
      <c r="C66" s="150"/>
      <c r="D66" s="138" t="s">
        <v>39</v>
      </c>
      <c r="E66" s="178" t="s">
        <v>37</v>
      </c>
      <c r="F66" s="179"/>
      <c r="G66" s="139"/>
      <c r="H66" s="128"/>
      <c r="I66" s="128"/>
      <c r="J66" s="128"/>
      <c r="K66" s="28"/>
    </row>
    <row r="67" spans="1:11" ht="16.5" customHeight="1">
      <c r="A67" s="21"/>
      <c r="B67" s="44"/>
      <c r="C67" s="44" t="str">
        <f>IF(D47=J47,"Baja","Alta")</f>
        <v>Baja</v>
      </c>
      <c r="D67" s="140">
        <f>D47*D29</f>
        <v>196</v>
      </c>
      <c r="E67" s="180">
        <f>+F58+$G$62+$G$63</f>
        <v>24.13049219687875</v>
      </c>
      <c r="F67" s="181" t="e">
        <f>$D$25*($D$46/$D$48)+$D$46/($D$49*D67*$D$25)+(($D$46*0.006*$D$50)/(D67*$D$25))+$D$46*($D$51+$D$52)/(100*D67*$D$25)+($D$53/$D$25)+#REF!</f>
        <v>#DIV/0!</v>
      </c>
      <c r="G67" s="139"/>
      <c r="H67" s="128"/>
      <c r="I67" s="128"/>
      <c r="J67" s="128"/>
      <c r="K67" s="28"/>
    </row>
    <row r="68" spans="1:11" ht="16.5" customHeight="1">
      <c r="A68" s="21"/>
      <c r="B68" s="22"/>
      <c r="C68" s="22"/>
      <c r="D68" s="25"/>
      <c r="E68" s="25"/>
      <c r="F68" s="22"/>
      <c r="G68" s="139"/>
      <c r="H68" s="128"/>
      <c r="I68" s="128"/>
      <c r="J68" s="128"/>
      <c r="K68" s="28"/>
    </row>
    <row r="69" spans="1:30" ht="16.5" customHeight="1">
      <c r="A69" s="21"/>
      <c r="B69" s="22"/>
      <c r="C69" s="22"/>
      <c r="D69" s="25"/>
      <c r="E69" s="25"/>
      <c r="F69" s="22"/>
      <c r="G69" s="27"/>
      <c r="H69" s="22"/>
      <c r="I69" s="22"/>
      <c r="J69" s="22"/>
      <c r="K69" s="33"/>
      <c r="AD69" s="15" t="b">
        <v>1</v>
      </c>
    </row>
    <row r="70" spans="1:30" ht="16.5" customHeight="1">
      <c r="A70" s="141"/>
      <c r="B70" s="142"/>
      <c r="C70" s="142"/>
      <c r="D70" s="143"/>
      <c r="E70" s="143"/>
      <c r="F70" s="142"/>
      <c r="G70" s="144"/>
      <c r="H70" s="142"/>
      <c r="I70" s="142"/>
      <c r="J70" s="142"/>
      <c r="K70" s="145"/>
      <c r="AD70" s="15" t="b">
        <v>0</v>
      </c>
    </row>
    <row r="71" ht="16.5" customHeight="1">
      <c r="K71" s="146"/>
    </row>
    <row r="72" ht="16.5" customHeight="1"/>
    <row r="73" ht="16.5" customHeight="1"/>
    <row r="74" ht="16.5" customHeight="1">
      <c r="AD74" s="15" t="b">
        <v>1</v>
      </c>
    </row>
    <row r="75" ht="13.5">
      <c r="AD75" s="15" t="b">
        <v>0</v>
      </c>
    </row>
  </sheetData>
  <sheetProtection/>
  <mergeCells count="55">
    <mergeCell ref="I46:J46"/>
    <mergeCell ref="B37:C37"/>
    <mergeCell ref="B38:C38"/>
    <mergeCell ref="E66:F66"/>
    <mergeCell ref="E67:F67"/>
    <mergeCell ref="E60:F60"/>
    <mergeCell ref="I53:J53"/>
    <mergeCell ref="E65:F65"/>
    <mergeCell ref="I61:J61"/>
    <mergeCell ref="Q34:R35"/>
    <mergeCell ref="M35:M36"/>
    <mergeCell ref="B15:C15"/>
    <mergeCell ref="B14:C14"/>
    <mergeCell ref="B16:C16"/>
    <mergeCell ref="B18:C18"/>
    <mergeCell ref="M23:N23"/>
    <mergeCell ref="B22:C22"/>
    <mergeCell ref="B28:C28"/>
    <mergeCell ref="M26:N26"/>
    <mergeCell ref="I17:J17"/>
    <mergeCell ref="B19:C19"/>
    <mergeCell ref="B20:C20"/>
    <mergeCell ref="B21:C21"/>
    <mergeCell ref="I21:J21"/>
    <mergeCell ref="I37:J37"/>
    <mergeCell ref="B35:C35"/>
    <mergeCell ref="M33:M34"/>
    <mergeCell ref="B47:C47"/>
    <mergeCell ref="B49:C49"/>
    <mergeCell ref="B31:C31"/>
    <mergeCell ref="B32:C32"/>
    <mergeCell ref="I31:J31"/>
    <mergeCell ref="B34:C34"/>
    <mergeCell ref="B40:C40"/>
    <mergeCell ref="B42:C42"/>
    <mergeCell ref="B46:C46"/>
    <mergeCell ref="B51:C51"/>
    <mergeCell ref="M10:N10"/>
    <mergeCell ref="B13:C13"/>
    <mergeCell ref="I13:J13"/>
    <mergeCell ref="B24:C24"/>
    <mergeCell ref="B27:C27"/>
    <mergeCell ref="I26:J26"/>
    <mergeCell ref="B26:C26"/>
    <mergeCell ref="M37:M38"/>
    <mergeCell ref="M32:O32"/>
    <mergeCell ref="B52:C52"/>
    <mergeCell ref="B53:C53"/>
    <mergeCell ref="B66:C66"/>
    <mergeCell ref="B54:C54"/>
    <mergeCell ref="B55:C55"/>
    <mergeCell ref="B56:C56"/>
    <mergeCell ref="B60:D60"/>
    <mergeCell ref="B61:C61"/>
    <mergeCell ref="B65:D65"/>
  </mergeCells>
  <conditionalFormatting sqref="J32:J35">
    <cfRule type="cellIs" priority="1" dxfId="0" operator="equal" stopIfTrue="1">
      <formula>$D$35</formula>
    </cfRule>
  </conditionalFormatting>
  <conditionalFormatting sqref="J14:J16">
    <cfRule type="cellIs" priority="2" dxfId="0" operator="equal" stopIfTrue="1">
      <formula>$D$13</formula>
    </cfRule>
  </conditionalFormatting>
  <conditionalFormatting sqref="J27:J29">
    <cfRule type="cellIs" priority="3" dxfId="0" operator="equal" stopIfTrue="1">
      <formula>$D$31</formula>
    </cfRule>
  </conditionalFormatting>
  <conditionalFormatting sqref="J22:J24">
    <cfRule type="cellIs" priority="4" dxfId="0" operator="equal" stopIfTrue="1">
      <formula>$D$27</formula>
    </cfRule>
  </conditionalFormatting>
  <conditionalFormatting sqref="J18:J19">
    <cfRule type="cellIs" priority="5" dxfId="0" operator="equal" stopIfTrue="1">
      <formula>$D$15</formula>
    </cfRule>
  </conditionalFormatting>
  <conditionalFormatting sqref="C63">
    <cfRule type="expression" priority="6" dxfId="0" stopIfTrue="1">
      <formula>$G$63&gt;0</formula>
    </cfRule>
  </conditionalFormatting>
  <conditionalFormatting sqref="C62">
    <cfRule type="expression" priority="7" dxfId="0" stopIfTrue="1">
      <formula>$G$62&gt;0</formula>
    </cfRule>
  </conditionalFormatting>
  <conditionalFormatting sqref="J39">
    <cfRule type="expression" priority="8" dxfId="0" stopIfTrue="1">
      <formula>$D$31=25</formula>
    </cfRule>
  </conditionalFormatting>
  <conditionalFormatting sqref="J40">
    <cfRule type="expression" priority="9" dxfId="0" stopIfTrue="1">
      <formula>$D$31=50</formula>
    </cfRule>
  </conditionalFormatting>
  <conditionalFormatting sqref="J41">
    <cfRule type="expression" priority="10" dxfId="0" stopIfTrue="1">
      <formula>$D$31=75</formula>
    </cfRule>
  </conditionalFormatting>
  <conditionalFormatting sqref="J47:J48">
    <cfRule type="cellIs" priority="11" dxfId="0" operator="equal" stopIfTrue="1">
      <formula>$D$47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80.14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5"/>
    </row>
    <row r="8" spans="1:16" ht="12.75">
      <c r="A8" s="6" t="s">
        <v>100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101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5" t="s">
        <v>106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8.5" customHeight="1">
      <c r="A13" s="5" t="s">
        <v>107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8.5" customHeight="1">
      <c r="A14" s="5" t="s">
        <v>121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5" t="s">
        <v>108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8.5" customHeight="1">
      <c r="A16" s="5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5" t="s">
        <v>110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7.75" customHeight="1">
      <c r="A18" s="5" t="s">
        <v>124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8.5" customHeight="1">
      <c r="A19" s="5" t="s">
        <v>111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8.5" customHeight="1">
      <c r="A20" s="5" t="s">
        <v>112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5" t="s">
        <v>102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5" t="s">
        <v>125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8.5" customHeight="1">
      <c r="A24" s="5" t="s">
        <v>113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5" t="s">
        <v>126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5" t="s">
        <v>114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5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0" t="s">
        <v>127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5" t="s">
        <v>116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5" t="s">
        <v>117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8.5" customHeight="1">
      <c r="A31" s="5" t="s">
        <v>118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customHeight="1">
      <c r="A32" s="5" t="s">
        <v>119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1.5" customHeight="1">
      <c r="A33" s="5" t="s">
        <v>120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</sheetData>
  <sheetProtection/>
  <printOptions/>
  <pageMargins left="1.1811023622047245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2008-09-10T13:32:23Z</cp:lastPrinted>
  <dcterms:created xsi:type="dcterms:W3CDTF">2006-04-10T08:55:06Z</dcterms:created>
  <dcterms:modified xsi:type="dcterms:W3CDTF">2014-06-27T08:11:12Z</dcterms:modified>
  <cp:category/>
  <cp:version/>
  <cp:contentType/>
  <cp:contentStatus/>
</cp:coreProperties>
</file>