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" yWindow="65524" windowWidth="15480" windowHeight="8976" tabRatio="884" activeTab="0"/>
  </bookViews>
  <sheets>
    <sheet name="Atomizador" sheetId="1" r:id="rId1"/>
    <sheet name="Metodología" sheetId="2" r:id="rId2"/>
  </sheets>
  <definedNames>
    <definedName name="_xlnm.Print_Area" localSheetId="0">'Atomizador'!$B$8:$J$68</definedName>
    <definedName name="_xlnm.Print_Area" localSheetId="1">'Metodología'!$A$1:$A$33</definedName>
  </definedNames>
  <calcPr fullCalcOnLoad="1"/>
</workbook>
</file>

<file path=xl/sharedStrings.xml><?xml version="1.0" encoding="utf-8"?>
<sst xmlns="http://schemas.openxmlformats.org/spreadsheetml/2006/main" count="190" uniqueCount="141">
  <si>
    <t>OPERACIÓN:</t>
  </si>
  <si>
    <t xml:space="preserve">APERO: </t>
  </si>
  <si>
    <t>Baja</t>
  </si>
  <si>
    <t>Media</t>
  </si>
  <si>
    <t>m</t>
  </si>
  <si>
    <t>Alta</t>
  </si>
  <si>
    <t>km/h</t>
  </si>
  <si>
    <t>kg</t>
  </si>
  <si>
    <t>Eficiencia de trabajo</t>
  </si>
  <si>
    <t>h/ha</t>
  </si>
  <si>
    <t>Eficiencia</t>
  </si>
  <si>
    <t>ha/h</t>
  </si>
  <si>
    <t>Nivel de carga de trabajo (%)</t>
  </si>
  <si>
    <t>CV</t>
  </si>
  <si>
    <t>%</t>
  </si>
  <si>
    <t>Potencia tractor necesaria</t>
  </si>
  <si>
    <t>Nivel potencia tractor (CV)</t>
  </si>
  <si>
    <t>Consumo de combustible</t>
  </si>
  <si>
    <t>Consumo combustible</t>
  </si>
  <si>
    <t>Consumo de aceite</t>
  </si>
  <si>
    <t>Carga</t>
  </si>
  <si>
    <t>Horas trabajo anuales</t>
  </si>
  <si>
    <t>h/año</t>
  </si>
  <si>
    <t>Precio adquisición</t>
  </si>
  <si>
    <t>€</t>
  </si>
  <si>
    <t>amort. - desgaste</t>
  </si>
  <si>
    <t>h</t>
  </si>
  <si>
    <t>€/h</t>
  </si>
  <si>
    <t>amort. - obsolescencia</t>
  </si>
  <si>
    <t>años</t>
  </si>
  <si>
    <t>interés</t>
  </si>
  <si>
    <t>seguros</t>
  </si>
  <si>
    <t>% PA</t>
  </si>
  <si>
    <t>resguardo</t>
  </si>
  <si>
    <t>mantenim-reparaciones</t>
  </si>
  <si>
    <t>€/ha</t>
  </si>
  <si>
    <t>Coste total</t>
  </si>
  <si>
    <t>ha/año</t>
  </si>
  <si>
    <t>Tractor auxiliar</t>
  </si>
  <si>
    <t>kW</t>
  </si>
  <si>
    <t>horas</t>
  </si>
  <si>
    <t>€/L</t>
  </si>
  <si>
    <t>€/kW</t>
  </si>
  <si>
    <t>Seguros</t>
  </si>
  <si>
    <t>Resguardo</t>
  </si>
  <si>
    <t>L/h-kW</t>
  </si>
  <si>
    <t>L/h</t>
  </si>
  <si>
    <t>Velocidad de trabajo</t>
  </si>
  <si>
    <t>Peso apero (vacío)</t>
  </si>
  <si>
    <t>consumos</t>
  </si>
  <si>
    <t>anchura alta</t>
  </si>
  <si>
    <t>anchura normal</t>
  </si>
  <si>
    <t>RESULTADOS MAPA</t>
  </si>
  <si>
    <t>L</t>
  </si>
  <si>
    <t>Nivel de carga del tractor</t>
  </si>
  <si>
    <t>Potencia necesaria</t>
  </si>
  <si>
    <t xml:space="preserve">Caudal bomba </t>
  </si>
  <si>
    <t>Presión del líquido</t>
  </si>
  <si>
    <t>bar</t>
  </si>
  <si>
    <t>Capacidad del depósito</t>
  </si>
  <si>
    <t>Coef. Esfuerzo de tracción</t>
  </si>
  <si>
    <t>Bajo</t>
  </si>
  <si>
    <t>Medio</t>
  </si>
  <si>
    <t>Alto</t>
  </si>
  <si>
    <t>COSTES DE UTILIZACIÓN</t>
  </si>
  <si>
    <t>COSTES DE POSESIÓN</t>
  </si>
  <si>
    <t>Coste gasóleo</t>
  </si>
  <si>
    <t>L/ha</t>
  </si>
  <si>
    <t>Coste combustible</t>
  </si>
  <si>
    <t>Capacidad trabajo teórica</t>
  </si>
  <si>
    <t>Capacidad trabajo real</t>
  </si>
  <si>
    <t>Factor (L/h-kW)</t>
  </si>
  <si>
    <t>No hay datos de ASAE</t>
  </si>
  <si>
    <t>L/min</t>
  </si>
  <si>
    <t>Pot a la barra i/rod+desliz</t>
  </si>
  <si>
    <t>Tipo de tractor escogido</t>
  </si>
  <si>
    <t>Potencia tractor escogido</t>
  </si>
  <si>
    <t>Utilización anual</t>
  </si>
  <si>
    <t>€/h s/comb</t>
  </si>
  <si>
    <t>Baja (500 h/año)</t>
  </si>
  <si>
    <t>Alta (1.000 h/año)</t>
  </si>
  <si>
    <t>Utilización apero (h/año)</t>
  </si>
  <si>
    <t>AUXILIAR</t>
  </si>
  <si>
    <t>Hipótesis tractor auxiliar</t>
  </si>
  <si>
    <t>Costes horarios tractor auxiliar  (€/h)</t>
  </si>
  <si>
    <t>Precio adquis.</t>
  </si>
  <si>
    <t>€/h s/comb.</t>
  </si>
  <si>
    <t>Amortización</t>
  </si>
  <si>
    <t>Tasa interés</t>
  </si>
  <si>
    <t>Mant.-Reparac</t>
  </si>
  <si>
    <t>Cons.carga media</t>
  </si>
  <si>
    <t>Tractor + Apero</t>
  </si>
  <si>
    <t xml:space="preserve"> +combustible</t>
  </si>
  <si>
    <t>Las hipótesis establecidas para el cálculo de los costes son las siguientes:</t>
  </si>
  <si>
    <t>Utilización anual apero: En función de las horas de trabajo anuales elegidas y de la capacidad de trabajo se obtiene la superficie anual trabajada por el apero en ha/año.</t>
  </si>
  <si>
    <t>Precio adquisición tractor</t>
  </si>
  <si>
    <t xml:space="preserve"> €/kW de potencia</t>
  </si>
  <si>
    <t>Atomizador arrastrado</t>
  </si>
  <si>
    <t>Atomizador suspendido</t>
  </si>
  <si>
    <t>Caudal de aire</t>
  </si>
  <si>
    <t>Caudal de aire (m3/h)</t>
  </si>
  <si>
    <t>Capacidad de depósito (L)</t>
  </si>
  <si>
    <t>Anchura trabajo</t>
  </si>
  <si>
    <t>m3/h</t>
  </si>
  <si>
    <t>Altura de árboles</t>
  </si>
  <si>
    <t>Potencia circuito hidráulico</t>
  </si>
  <si>
    <t>(incluye turbina)</t>
  </si>
  <si>
    <t>Velocidad máxima (aire)</t>
  </si>
  <si>
    <t>-          Eficiencia de la operación: Baja, media o alta (se recomienda escoger media para esta operación puesto que es la situación más habitual)</t>
  </si>
  <si>
    <t>-          Caudal de la bomba: Se calcula como un 10 % del volumen del depósito</t>
  </si>
  <si>
    <t>-          Presión del líquido: Expresado en bar</t>
  </si>
  <si>
    <t xml:space="preserve">-          Rendimiento de accionamiento del pulverizador: Se considera que se pierde un 50% de la potencia suministrada por el tractor para accionar el pulverizador. </t>
  </si>
  <si>
    <t>-          Coeficiente de esfuerzo de tracción: Se ha tomado un valor de 0,1.</t>
  </si>
  <si>
    <t>-          Potencia a la barra incluidos rodadura y deslizamiento: Es la potencia necesaria a la barra consideradas unas pérdidas por rodadura y deslizamiento del 25 %.</t>
  </si>
  <si>
    <t>-          Potencia del tractor escogido: Es la potencia del tractor seleccionado por el usuario en función de los resultados obtenidos.</t>
  </si>
  <si>
    <t>-          Coste de combustible: 0,75 €/L</t>
  </si>
  <si>
    <t>-          Horas de trabajo anuales: Se han estimado dos rangos diferentes de utilización del apero al año, baja (25 h/año) y alta (50 h/año)</t>
  </si>
  <si>
    <t>-          Amortización por obsolescencia: 20 años</t>
  </si>
  <si>
    <t>-          Seguros: 0,2 % del precio de adquisición</t>
  </si>
  <si>
    <t>-          Resguardo: 0,1 % del precio de adquisición</t>
  </si>
  <si>
    <t>-          Utilización anual tractor auxiliar: Se han estimado dos rangos diferentes de trabajo, 500 y 1.000 h/año.</t>
  </si>
  <si>
    <t>Tratamientos insecticidas y fungicidas sobre árboles y arbustos</t>
  </si>
  <si>
    <t>Se debe escoger previamente entre atomizador (pulverizador hidro-neumático) arrastrado o suspendido. Una vez hecho esto, los datos de partida de esta operación son los siguientes:</t>
  </si>
  <si>
    <t>-          Anchura de trabajo dependiente del marco de plantación: se puede modificar en escalones de 0,5 m utilzando el cursor</t>
  </si>
  <si>
    <t>-          Altura de la plantación: se puede ajustaren escalones de 0,5 m utilzando el cursor</t>
  </si>
  <si>
    <t xml:space="preserve">-          Peso del apero en vacío: Se ha tomado como la mitad del volunen del depósito </t>
  </si>
  <si>
    <t>-          Atomizador suspendido: capacidades de depósito de 400, 600 y 1000 litros. Caudales de aire de ventilador: 10000, 20000 y 3000 m3/h</t>
  </si>
  <si>
    <t>-          Nivel de carga del tractor: Bajo, medio o alto (se recomienda poner un nivel medio para esta operación)</t>
  </si>
  <si>
    <t>-          Velocidad máxima calculado en función del caudal del ventilador, la anchura de trabajo y la altura de los árboles. Coefeicnete de expansión de 2,5</t>
  </si>
  <si>
    <t>Velocidad de trabajo: se puede modificar por escalones de 0,5 m utilzando el cursor; se recomineda que sea inferior al máximo calculado</t>
  </si>
  <si>
    <t>-          Atomizador arrastrado: capacidades de depósito de 1200, 2000 y 3000 litros. Caudales de aire de ventilador: 30000, 45000 y 6000 m3/h</t>
  </si>
  <si>
    <t>-          Mantenimiento y reparaciones: 0,90 €/ha</t>
  </si>
  <si>
    <t>-          Amortización por desgaste: 1.000  h</t>
  </si>
  <si>
    <t xml:space="preserve">-          Precio de adquisición: Estimado en 5000 €/1000 L de volumen de depósito </t>
  </si>
  <si>
    <t>GG</t>
  </si>
  <si>
    <t>MM</t>
  </si>
  <si>
    <t>PP</t>
  </si>
  <si>
    <t>MP</t>
  </si>
  <si>
    <t>€/kL</t>
  </si>
  <si>
    <t>-          Interés: 5 %</t>
  </si>
  <si>
    <t>Tratamiento sobre cultivos arbóreos (atomizadores y nebulizadores)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</si>
</sst>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00"/>
    <numFmt numFmtId="166" formatCode="[$-C0A]dddd\,\ dd&quot; de &quot;mmmm&quot; de &quot;yyyy"/>
    <numFmt numFmtId="167" formatCode="&quot;Sí&quot;;&quot;Sí&quot;;&quot;No&quot;"/>
    <numFmt numFmtId="168" formatCode="&quot;Verdadero&quot;;&quot;Verdadero&quot;;&quot;Falso&quot;"/>
    <numFmt numFmtId="169" formatCode="&quot;Activado&quot;;&quot;Activado&quot;;&quot;Desactivado&quot;"/>
    <numFmt numFmtId="170" formatCode="[$€-2]\ #,##0.00_);[Red]\([$€-2]\ #,##0.00\)"/>
    <numFmt numFmtId="171" formatCode="0.00000"/>
    <numFmt numFmtId="172" formatCode="0.0000"/>
    <numFmt numFmtId="173" formatCode="#,##0.0"/>
    <numFmt numFmtId="174" formatCode="0.0000000000"/>
    <numFmt numFmtId="175" formatCode="0.00000000000"/>
    <numFmt numFmtId="176" formatCode="0.000000000"/>
    <numFmt numFmtId="177" formatCode="0.00000000"/>
    <numFmt numFmtId="178" formatCode="0.0000000"/>
    <numFmt numFmtId="179" formatCode="0.000000"/>
  </numFmts>
  <fonts count="5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9"/>
      <name val="Arial"/>
      <family val="0"/>
    </font>
    <font>
      <u val="single"/>
      <sz val="9"/>
      <name val="Arial"/>
      <family val="0"/>
    </font>
    <font>
      <sz val="11"/>
      <name val="Arial"/>
      <family val="2"/>
    </font>
    <font>
      <sz val="11"/>
      <color indexed="9"/>
      <name val="Arial"/>
      <family val="2"/>
    </font>
    <font>
      <b/>
      <sz val="11"/>
      <name val="Arial"/>
      <family val="2"/>
    </font>
    <font>
      <b/>
      <u val="single"/>
      <sz val="11"/>
      <color indexed="9"/>
      <name val="Arial"/>
      <family val="2"/>
    </font>
    <font>
      <sz val="11"/>
      <color indexed="22"/>
      <name val="Arial"/>
      <family val="2"/>
    </font>
    <font>
      <b/>
      <sz val="11"/>
      <color indexed="12"/>
      <name val="Arial"/>
      <family val="2"/>
    </font>
    <font>
      <b/>
      <sz val="11"/>
      <color indexed="42"/>
      <name val="Arial"/>
      <family val="2"/>
    </font>
    <font>
      <sz val="11"/>
      <color indexed="12"/>
      <name val="Arial"/>
      <family val="2"/>
    </font>
    <font>
      <sz val="11"/>
      <color indexed="42"/>
      <name val="Arial"/>
      <family val="2"/>
    </font>
    <font>
      <b/>
      <sz val="11"/>
      <color indexed="48"/>
      <name val="Arial"/>
      <family val="2"/>
    </font>
    <font>
      <b/>
      <sz val="11"/>
      <color indexed="9"/>
      <name val="Arial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17"/>
      <name val="Calibri"/>
      <family val="2"/>
    </font>
    <font>
      <b/>
      <sz val="10"/>
      <color indexed="52"/>
      <name val="Calibri"/>
      <family val="2"/>
    </font>
    <font>
      <b/>
      <sz val="10"/>
      <color indexed="9"/>
      <name val="Calibri"/>
      <family val="2"/>
    </font>
    <font>
      <sz val="10"/>
      <color indexed="52"/>
      <name val="Calibri"/>
      <family val="2"/>
    </font>
    <font>
      <b/>
      <sz val="11"/>
      <color indexed="56"/>
      <name val="Calibri"/>
      <family val="2"/>
    </font>
    <font>
      <sz val="10"/>
      <color indexed="62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b/>
      <sz val="10"/>
      <color indexed="63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0"/>
      <color indexed="8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006100"/>
      <name val="Calibri"/>
      <family val="2"/>
    </font>
    <font>
      <b/>
      <sz val="10"/>
      <color rgb="FFFA7D00"/>
      <name val="Calibri"/>
      <family val="2"/>
    </font>
    <font>
      <b/>
      <sz val="10"/>
      <color theme="0"/>
      <name val="Calibri"/>
      <family val="2"/>
    </font>
    <font>
      <sz val="10"/>
      <color rgb="FFFA7D00"/>
      <name val="Calibri"/>
      <family val="2"/>
    </font>
    <font>
      <b/>
      <sz val="11"/>
      <color theme="3"/>
      <name val="Calibri"/>
      <family val="2"/>
    </font>
    <font>
      <sz val="10"/>
      <color rgb="FF3F3F76"/>
      <name val="Calibri"/>
      <family val="2"/>
    </font>
    <font>
      <sz val="10"/>
      <color rgb="FF9C0006"/>
      <name val="Calibri"/>
      <family val="2"/>
    </font>
    <font>
      <sz val="10"/>
      <color rgb="FF9C6500"/>
      <name val="Calibri"/>
      <family val="2"/>
    </font>
    <font>
      <b/>
      <sz val="10"/>
      <color rgb="FF3F3F3F"/>
      <name val="Calibri"/>
      <family val="2"/>
    </font>
    <font>
      <sz val="10"/>
      <color rgb="FFFF0000"/>
      <name val="Calibri"/>
      <family val="2"/>
    </font>
    <font>
      <i/>
      <sz val="10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0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3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6" fillId="21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42" fillId="0" borderId="8" applyNumberFormat="0" applyFill="0" applyAlignment="0" applyProtection="0"/>
    <xf numFmtId="0" fontId="52" fillId="0" borderId="9" applyNumberFormat="0" applyFill="0" applyAlignment="0" applyProtection="0"/>
  </cellStyleXfs>
  <cellXfs count="205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justify" wrapText="1"/>
    </xf>
    <xf numFmtId="0" fontId="0" fillId="0" borderId="0" xfId="0" applyAlignment="1">
      <alignment horizontal="justify" wrapText="1"/>
    </xf>
    <xf numFmtId="49" fontId="4" fillId="34" borderId="0" xfId="0" applyNumberFormat="1" applyFont="1" applyFill="1" applyAlignment="1">
      <alignment horizontal="justify" wrapText="1"/>
    </xf>
    <xf numFmtId="49" fontId="5" fillId="34" borderId="0" xfId="0" applyNumberFormat="1" applyFont="1" applyFill="1" applyAlignment="1">
      <alignment horizontal="justify" wrapText="1"/>
    </xf>
    <xf numFmtId="49" fontId="4" fillId="34" borderId="0" xfId="0" applyNumberFormat="1" applyFont="1" applyFill="1" applyAlignment="1">
      <alignment horizontal="justify" wrapText="1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Fill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 applyProtection="1">
      <alignment/>
      <protection hidden="1" locked="0"/>
    </xf>
    <xf numFmtId="0" fontId="6" fillId="34" borderId="10" xfId="0" applyFont="1" applyFill="1" applyBorder="1" applyAlignment="1">
      <alignment/>
    </xf>
    <xf numFmtId="0" fontId="6" fillId="34" borderId="11" xfId="0" applyFont="1" applyFill="1" applyBorder="1" applyAlignment="1">
      <alignment/>
    </xf>
    <xf numFmtId="0" fontId="6" fillId="34" borderId="11" xfId="0" applyFont="1" applyFill="1" applyBorder="1" applyAlignment="1">
      <alignment horizontal="center"/>
    </xf>
    <xf numFmtId="0" fontId="6" fillId="34" borderId="11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 applyProtection="1">
      <alignment/>
      <protection hidden="1" locked="0"/>
    </xf>
    <xf numFmtId="0" fontId="6" fillId="34" borderId="12" xfId="0" applyFont="1" applyFill="1" applyBorder="1" applyAlignment="1">
      <alignment/>
    </xf>
    <xf numFmtId="0" fontId="6" fillId="34" borderId="0" xfId="0" applyFont="1" applyFill="1" applyBorder="1" applyAlignment="1">
      <alignment/>
    </xf>
    <xf numFmtId="0" fontId="8" fillId="34" borderId="0" xfId="0" applyFont="1" applyFill="1" applyBorder="1" applyAlignment="1">
      <alignment horizontal="center"/>
    </xf>
    <xf numFmtId="0" fontId="8" fillId="34" borderId="0" xfId="0" applyFont="1" applyFill="1" applyBorder="1" applyAlignment="1">
      <alignment horizontal="left"/>
    </xf>
    <xf numFmtId="0" fontId="6" fillId="34" borderId="0" xfId="0" applyFont="1" applyFill="1" applyBorder="1" applyAlignment="1">
      <alignment horizontal="center"/>
    </xf>
    <xf numFmtId="0" fontId="8" fillId="34" borderId="0" xfId="0" applyFont="1" applyFill="1" applyBorder="1" applyAlignment="1">
      <alignment/>
    </xf>
    <xf numFmtId="0" fontId="6" fillId="34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34" borderId="0" xfId="0" applyFont="1" applyFill="1" applyBorder="1" applyAlignment="1">
      <alignment horizontal="left" vertical="top"/>
    </xf>
    <xf numFmtId="0" fontId="8" fillId="34" borderId="0" xfId="0" applyFont="1" applyFill="1" applyBorder="1" applyAlignment="1">
      <alignment vertical="top" wrapText="1"/>
    </xf>
    <xf numFmtId="0" fontId="8" fillId="34" borderId="0" xfId="0" applyFont="1" applyFill="1" applyBorder="1" applyAlignment="1">
      <alignment horizontal="left" vertical="top" wrapText="1"/>
    </xf>
    <xf numFmtId="0" fontId="10" fillId="34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 applyProtection="1">
      <alignment/>
      <protection locked="0"/>
    </xf>
    <xf numFmtId="164" fontId="11" fillId="33" borderId="11" xfId="0" applyNumberFormat="1" applyFont="1" applyFill="1" applyBorder="1" applyAlignment="1" applyProtection="1">
      <alignment horizontal="center"/>
      <protection/>
    </xf>
    <xf numFmtId="0" fontId="8" fillId="33" borderId="13" xfId="0" applyFont="1" applyFill="1" applyBorder="1" applyAlignment="1">
      <alignment horizontal="center"/>
    </xf>
    <xf numFmtId="0" fontId="12" fillId="34" borderId="0" xfId="0" applyFont="1" applyFill="1" applyBorder="1" applyAlignment="1">
      <alignment horizontal="center" vertical="top" wrapText="1"/>
    </xf>
    <xf numFmtId="0" fontId="6" fillId="34" borderId="14" xfId="0" applyFont="1" applyFill="1" applyBorder="1" applyAlignment="1">
      <alignment/>
    </xf>
    <xf numFmtId="0" fontId="7" fillId="0" borderId="0" xfId="0" applyFont="1" applyFill="1" applyBorder="1" applyAlignment="1" applyProtection="1">
      <alignment horizontal="center"/>
      <protection hidden="1" locked="0"/>
    </xf>
    <xf numFmtId="0" fontId="11" fillId="0" borderId="12" xfId="0" applyFont="1" applyBorder="1" applyAlignment="1">
      <alignment/>
    </xf>
    <xf numFmtId="0" fontId="13" fillId="0" borderId="0" xfId="0" applyFont="1" applyFill="1" applyBorder="1" applyAlignment="1">
      <alignment/>
    </xf>
    <xf numFmtId="164" fontId="11" fillId="33" borderId="0" xfId="0" applyNumberFormat="1" applyFont="1" applyFill="1" applyBorder="1" applyAlignment="1" applyProtection="1">
      <alignment horizontal="center"/>
      <protection/>
    </xf>
    <xf numFmtId="0" fontId="8" fillId="0" borderId="15" xfId="0" applyFont="1" applyFill="1" applyBorder="1" applyAlignment="1">
      <alignment horizontal="center"/>
    </xf>
    <xf numFmtId="0" fontId="14" fillId="34" borderId="0" xfId="0" applyFont="1" applyFill="1" applyBorder="1" applyAlignment="1">
      <alignment horizontal="center"/>
    </xf>
    <xf numFmtId="0" fontId="7" fillId="0" borderId="0" xfId="0" applyFont="1" applyFill="1" applyBorder="1" applyAlignment="1" applyProtection="1">
      <alignment/>
      <protection locked="0"/>
    </xf>
    <xf numFmtId="0" fontId="8" fillId="33" borderId="12" xfId="0" applyFont="1" applyFill="1" applyBorder="1" applyAlignment="1">
      <alignment horizontal="left"/>
    </xf>
    <xf numFmtId="0" fontId="8" fillId="33" borderId="0" xfId="0" applyFont="1" applyFill="1" applyBorder="1" applyAlignment="1">
      <alignment horizontal="left"/>
    </xf>
    <xf numFmtId="3" fontId="6" fillId="33" borderId="0" xfId="0" applyNumberFormat="1" applyFont="1" applyFill="1" applyBorder="1" applyAlignment="1" applyProtection="1">
      <alignment horizontal="center"/>
      <protection hidden="1"/>
    </xf>
    <xf numFmtId="0" fontId="8" fillId="33" borderId="15" xfId="0" applyFont="1" applyFill="1" applyBorder="1" applyAlignment="1">
      <alignment horizontal="center"/>
    </xf>
    <xf numFmtId="0" fontId="6" fillId="34" borderId="16" xfId="0" applyFont="1" applyFill="1" applyBorder="1" applyAlignment="1">
      <alignment/>
    </xf>
    <xf numFmtId="0" fontId="6" fillId="0" borderId="16" xfId="0" applyFont="1" applyBorder="1" applyAlignment="1">
      <alignment/>
    </xf>
    <xf numFmtId="0" fontId="6" fillId="0" borderId="16" xfId="0" applyFont="1" applyBorder="1" applyAlignment="1">
      <alignment horizontal="center"/>
    </xf>
    <xf numFmtId="0" fontId="6" fillId="33" borderId="0" xfId="0" applyFont="1" applyFill="1" applyBorder="1" applyAlignment="1">
      <alignment horizontal="left"/>
    </xf>
    <xf numFmtId="0" fontId="6" fillId="33" borderId="0" xfId="0" applyFont="1" applyFill="1" applyBorder="1" applyAlignment="1" applyProtection="1">
      <alignment horizontal="center"/>
      <protection hidden="1"/>
    </xf>
    <xf numFmtId="0" fontId="6" fillId="0" borderId="16" xfId="0" applyFont="1" applyFill="1" applyBorder="1" applyAlignment="1">
      <alignment/>
    </xf>
    <xf numFmtId="0" fontId="14" fillId="34" borderId="0" xfId="0" applyFont="1" applyFill="1" applyBorder="1" applyAlignment="1">
      <alignment/>
    </xf>
    <xf numFmtId="0" fontId="6" fillId="33" borderId="0" xfId="0" applyNumberFormat="1" applyFont="1" applyFill="1" applyBorder="1" applyAlignment="1" applyProtection="1">
      <alignment horizontal="center"/>
      <protection hidden="1"/>
    </xf>
    <xf numFmtId="0" fontId="6" fillId="34" borderId="17" xfId="0" applyFont="1" applyFill="1" applyBorder="1" applyAlignment="1">
      <alignment/>
    </xf>
    <xf numFmtId="164" fontId="6" fillId="33" borderId="0" xfId="0" applyNumberFormat="1" applyFont="1" applyFill="1" applyBorder="1" applyAlignment="1" applyProtection="1">
      <alignment horizontal="center"/>
      <protection hidden="1"/>
    </xf>
    <xf numFmtId="164" fontId="15" fillId="33" borderId="0" xfId="0" applyNumberFormat="1" applyFont="1" applyFill="1" applyBorder="1" applyAlignment="1" applyProtection="1">
      <alignment horizontal="center"/>
      <protection hidden="1"/>
    </xf>
    <xf numFmtId="0" fontId="14" fillId="34" borderId="12" xfId="0" applyFont="1" applyFill="1" applyBorder="1" applyAlignment="1">
      <alignment horizontal="center"/>
    </xf>
    <xf numFmtId="1" fontId="6" fillId="33" borderId="0" xfId="0" applyNumberFormat="1" applyFont="1" applyFill="1" applyBorder="1" applyAlignment="1" applyProtection="1">
      <alignment horizontal="center"/>
      <protection hidden="1"/>
    </xf>
    <xf numFmtId="0" fontId="6" fillId="33" borderId="12" xfId="0" applyFont="1" applyFill="1" applyBorder="1" applyAlignment="1">
      <alignment horizontal="left"/>
    </xf>
    <xf numFmtId="0" fontId="8" fillId="33" borderId="0" xfId="0" applyFont="1" applyFill="1" applyBorder="1" applyAlignment="1">
      <alignment horizontal="center"/>
    </xf>
    <xf numFmtId="2" fontId="6" fillId="0" borderId="16" xfId="0" applyNumberFormat="1" applyFont="1" applyBorder="1" applyAlignment="1">
      <alignment horizontal="center"/>
    </xf>
    <xf numFmtId="0" fontId="6" fillId="0" borderId="12" xfId="0" applyFont="1" applyBorder="1" applyAlignment="1">
      <alignment/>
    </xf>
    <xf numFmtId="2" fontId="7" fillId="33" borderId="0" xfId="0" applyNumberFormat="1" applyFont="1" applyFill="1" applyBorder="1" applyAlignment="1" applyProtection="1">
      <alignment horizontal="center"/>
      <protection hidden="1"/>
    </xf>
    <xf numFmtId="0" fontId="6" fillId="0" borderId="15" xfId="0" applyFont="1" applyBorder="1" applyAlignment="1">
      <alignment horizontal="center"/>
    </xf>
    <xf numFmtId="0" fontId="16" fillId="0" borderId="0" xfId="0" applyFont="1" applyFill="1" applyBorder="1" applyAlignment="1">
      <alignment horizontal="center" wrapText="1"/>
    </xf>
    <xf numFmtId="2" fontId="6" fillId="0" borderId="0" xfId="0" applyNumberFormat="1" applyFont="1" applyBorder="1" applyAlignment="1">
      <alignment horizontal="center"/>
    </xf>
    <xf numFmtId="0" fontId="6" fillId="33" borderId="15" xfId="0" applyFont="1" applyFill="1" applyBorder="1" applyAlignment="1">
      <alignment horizontal="center"/>
    </xf>
    <xf numFmtId="2" fontId="18" fillId="33" borderId="0" xfId="0" applyNumberFormat="1" applyFont="1" applyFill="1" applyBorder="1" applyAlignment="1" applyProtection="1">
      <alignment horizontal="center"/>
      <protection hidden="1"/>
    </xf>
    <xf numFmtId="0" fontId="17" fillId="33" borderId="15" xfId="0" applyFont="1" applyFill="1" applyBorder="1" applyAlignment="1">
      <alignment horizontal="center"/>
    </xf>
    <xf numFmtId="0" fontId="6" fillId="33" borderId="12" xfId="0" applyFont="1" applyFill="1" applyBorder="1" applyAlignment="1">
      <alignment/>
    </xf>
    <xf numFmtId="0" fontId="18" fillId="33" borderId="0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2" fontId="7" fillId="0" borderId="0" xfId="0" applyNumberFormat="1" applyFont="1" applyFill="1" applyBorder="1" applyAlignment="1">
      <alignment horizontal="center"/>
    </xf>
    <xf numFmtId="2" fontId="7" fillId="0" borderId="0" xfId="0" applyNumberFormat="1" applyFont="1" applyFill="1" applyBorder="1" applyAlignment="1">
      <alignment/>
    </xf>
    <xf numFmtId="2" fontId="7" fillId="0" borderId="0" xfId="0" applyNumberFormat="1" applyFont="1" applyFill="1" applyBorder="1" applyAlignment="1">
      <alignment/>
    </xf>
    <xf numFmtId="0" fontId="6" fillId="0" borderId="16" xfId="0" applyFont="1" applyFill="1" applyBorder="1" applyAlignment="1">
      <alignment horizontal="left"/>
    </xf>
    <xf numFmtId="0" fontId="6" fillId="0" borderId="16" xfId="0" applyFont="1" applyFill="1" applyBorder="1" applyAlignment="1">
      <alignment horizontal="center"/>
    </xf>
    <xf numFmtId="0" fontId="6" fillId="34" borderId="16" xfId="0" applyFont="1" applyFill="1" applyBorder="1" applyAlignment="1">
      <alignment/>
    </xf>
    <xf numFmtId="0" fontId="6" fillId="33" borderId="14" xfId="0" applyFont="1" applyFill="1" applyBorder="1" applyAlignment="1" applyProtection="1">
      <alignment horizontal="center"/>
      <protection hidden="1"/>
    </xf>
    <xf numFmtId="0" fontId="8" fillId="33" borderId="18" xfId="0" applyFont="1" applyFill="1" applyBorder="1" applyAlignment="1">
      <alignment horizontal="center"/>
    </xf>
    <xf numFmtId="3" fontId="7" fillId="0" borderId="0" xfId="0" applyNumberFormat="1" applyFont="1" applyFill="1" applyBorder="1" applyAlignment="1">
      <alignment horizontal="center"/>
    </xf>
    <xf numFmtId="0" fontId="6" fillId="34" borderId="0" xfId="0" applyFont="1" applyFill="1" applyBorder="1" applyAlignment="1" applyProtection="1">
      <alignment horizontal="center"/>
      <protection hidden="1"/>
    </xf>
    <xf numFmtId="0" fontId="6" fillId="35" borderId="19" xfId="0" applyFont="1" applyFill="1" applyBorder="1" applyAlignment="1" applyProtection="1">
      <alignment horizontal="center"/>
      <protection hidden="1"/>
    </xf>
    <xf numFmtId="0" fontId="6" fillId="35" borderId="20" xfId="0" applyFont="1" applyFill="1" applyBorder="1" applyAlignment="1">
      <alignment horizontal="center"/>
    </xf>
    <xf numFmtId="2" fontId="6" fillId="33" borderId="0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Border="1" applyAlignment="1" applyProtection="1">
      <alignment horizontal="center"/>
      <protection locked="0"/>
    </xf>
    <xf numFmtId="165" fontId="6" fillId="33" borderId="0" xfId="0" applyNumberFormat="1" applyFont="1" applyFill="1" applyBorder="1" applyAlignment="1" applyProtection="1">
      <alignment horizontal="center"/>
      <protection hidden="1"/>
    </xf>
    <xf numFmtId="165" fontId="6" fillId="0" borderId="16" xfId="0" applyNumberFormat="1" applyFont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left"/>
      <protection/>
    </xf>
    <xf numFmtId="0" fontId="7" fillId="0" borderId="0" xfId="0" applyFont="1" applyFill="1" applyBorder="1" applyAlignment="1" applyProtection="1">
      <alignment/>
      <protection/>
    </xf>
    <xf numFmtId="2" fontId="13" fillId="33" borderId="0" xfId="0" applyNumberFormat="1" applyFont="1" applyFill="1" applyBorder="1" applyAlignment="1" applyProtection="1">
      <alignment horizontal="center"/>
      <protection hidden="1" locked="0"/>
    </xf>
    <xf numFmtId="0" fontId="8" fillId="33" borderId="21" xfId="0" applyFont="1" applyFill="1" applyBorder="1" applyAlignment="1">
      <alignment horizontal="center"/>
    </xf>
    <xf numFmtId="165" fontId="7" fillId="0" borderId="0" xfId="0" applyNumberFormat="1" applyFont="1" applyFill="1" applyBorder="1" applyAlignment="1" applyProtection="1">
      <alignment horizontal="center"/>
      <protection locked="0"/>
    </xf>
    <xf numFmtId="0" fontId="17" fillId="33" borderId="22" xfId="0" applyFont="1" applyFill="1" applyBorder="1" applyAlignment="1">
      <alignment horizontal="left"/>
    </xf>
    <xf numFmtId="0" fontId="17" fillId="33" borderId="23" xfId="0" applyFont="1" applyFill="1" applyBorder="1" applyAlignment="1">
      <alignment horizontal="left"/>
    </xf>
    <xf numFmtId="164" fontId="18" fillId="33" borderId="24" xfId="0" applyNumberFormat="1" applyFont="1" applyFill="1" applyBorder="1" applyAlignment="1" applyProtection="1">
      <alignment horizontal="center"/>
      <protection hidden="1"/>
    </xf>
    <xf numFmtId="0" fontId="17" fillId="33" borderId="25" xfId="0" applyFont="1" applyFill="1" applyBorder="1" applyAlignment="1">
      <alignment horizontal="left"/>
    </xf>
    <xf numFmtId="0" fontId="17" fillId="33" borderId="14" xfId="0" applyFont="1" applyFill="1" applyBorder="1" applyAlignment="1">
      <alignment horizontal="left"/>
    </xf>
    <xf numFmtId="164" fontId="18" fillId="33" borderId="14" xfId="0" applyNumberFormat="1" applyFont="1" applyFill="1" applyBorder="1" applyAlignment="1" applyProtection="1">
      <alignment horizontal="center"/>
      <protection hidden="1"/>
    </xf>
    <xf numFmtId="0" fontId="17" fillId="33" borderId="18" xfId="0" applyFont="1" applyFill="1" applyBorder="1" applyAlignment="1">
      <alignment horizontal="center"/>
    </xf>
    <xf numFmtId="165" fontId="6" fillId="34" borderId="0" xfId="0" applyNumberFormat="1" applyFont="1" applyFill="1" applyBorder="1" applyAlignment="1" applyProtection="1">
      <alignment horizontal="center"/>
      <protection/>
    </xf>
    <xf numFmtId="0" fontId="6" fillId="35" borderId="19" xfId="0" applyFont="1" applyFill="1" applyBorder="1" applyAlignment="1">
      <alignment horizontal="center"/>
    </xf>
    <xf numFmtId="0" fontId="6" fillId="35" borderId="19" xfId="0" applyFont="1" applyFill="1" applyBorder="1" applyAlignment="1">
      <alignment/>
    </xf>
    <xf numFmtId="0" fontId="6" fillId="35" borderId="20" xfId="0" applyFont="1" applyFill="1" applyBorder="1" applyAlignment="1">
      <alignment/>
    </xf>
    <xf numFmtId="0" fontId="6" fillId="33" borderId="11" xfId="0" applyFont="1" applyFill="1" applyBorder="1" applyAlignment="1" applyProtection="1">
      <alignment horizontal="center"/>
      <protection hidden="1"/>
    </xf>
    <xf numFmtId="0" fontId="8" fillId="33" borderId="11" xfId="0" applyFont="1" applyFill="1" applyBorder="1" applyAlignment="1">
      <alignment horizontal="center"/>
    </xf>
    <xf numFmtId="0" fontId="6" fillId="33" borderId="11" xfId="0" applyFont="1" applyFill="1" applyBorder="1" applyAlignment="1">
      <alignment/>
    </xf>
    <xf numFmtId="0" fontId="6" fillId="33" borderId="13" xfId="0" applyFont="1" applyFill="1" applyBorder="1" applyAlignment="1">
      <alignment/>
    </xf>
    <xf numFmtId="0" fontId="13" fillId="0" borderId="16" xfId="0" applyFont="1" applyBorder="1" applyAlignment="1" applyProtection="1">
      <alignment horizontal="center"/>
      <protection locked="0"/>
    </xf>
    <xf numFmtId="0" fontId="6" fillId="33" borderId="0" xfId="0" applyFont="1" applyFill="1" applyBorder="1" applyAlignment="1">
      <alignment horizontal="center"/>
    </xf>
    <xf numFmtId="0" fontId="6" fillId="33" borderId="15" xfId="0" applyFont="1" applyFill="1" applyBorder="1" applyAlignment="1">
      <alignment/>
    </xf>
    <xf numFmtId="3" fontId="13" fillId="0" borderId="16" xfId="0" applyNumberFormat="1" applyFont="1" applyBorder="1" applyAlignment="1" applyProtection="1">
      <alignment horizontal="center"/>
      <protection locked="0"/>
    </xf>
    <xf numFmtId="3" fontId="13" fillId="33" borderId="0" xfId="0" applyNumberFormat="1" applyFont="1" applyFill="1" applyBorder="1" applyAlignment="1" applyProtection="1">
      <alignment horizontal="center"/>
      <protection locked="0"/>
    </xf>
    <xf numFmtId="0" fontId="8" fillId="33" borderId="15" xfId="0" applyFont="1" applyFill="1" applyBorder="1" applyAlignment="1">
      <alignment/>
    </xf>
    <xf numFmtId="3" fontId="6" fillId="34" borderId="0" xfId="0" applyNumberFormat="1" applyFont="1" applyFill="1" applyBorder="1" applyAlignment="1">
      <alignment horizontal="center"/>
    </xf>
    <xf numFmtId="3" fontId="13" fillId="33" borderId="0" xfId="0" applyNumberFormat="1" applyFont="1" applyFill="1" applyBorder="1" applyAlignment="1" applyProtection="1">
      <alignment horizontal="center"/>
      <protection hidden="1" locked="0"/>
    </xf>
    <xf numFmtId="0" fontId="13" fillId="33" borderId="0" xfId="0" applyFont="1" applyFill="1" applyBorder="1" applyAlignment="1" applyProtection="1">
      <alignment horizontal="center"/>
      <protection hidden="1" locked="0"/>
    </xf>
    <xf numFmtId="0" fontId="8" fillId="0" borderId="16" xfId="0" applyFont="1" applyBorder="1" applyAlignment="1">
      <alignment horizontal="center"/>
    </xf>
    <xf numFmtId="1" fontId="8" fillId="0" borderId="16" xfId="0" applyNumberFormat="1" applyFont="1" applyBorder="1" applyAlignment="1" applyProtection="1">
      <alignment horizontal="center"/>
      <protection hidden="1"/>
    </xf>
    <xf numFmtId="3" fontId="8" fillId="34" borderId="0" xfId="0" applyNumberFormat="1" applyFont="1" applyFill="1" applyBorder="1" applyAlignment="1">
      <alignment horizontal="center"/>
    </xf>
    <xf numFmtId="2" fontId="8" fillId="0" borderId="16" xfId="0" applyNumberFormat="1" applyFont="1" applyBorder="1" applyAlignment="1" applyProtection="1">
      <alignment horizontal="center"/>
      <protection hidden="1"/>
    </xf>
    <xf numFmtId="1" fontId="8" fillId="34" borderId="0" xfId="0" applyNumberFormat="1" applyFont="1" applyFill="1" applyBorder="1" applyAlignment="1">
      <alignment horizontal="center"/>
    </xf>
    <xf numFmtId="2" fontId="13" fillId="33" borderId="26" xfId="0" applyNumberFormat="1" applyFont="1" applyFill="1" applyBorder="1" applyAlignment="1" applyProtection="1">
      <alignment horizontal="center"/>
      <protection hidden="1" locked="0"/>
    </xf>
    <xf numFmtId="0" fontId="8" fillId="33" borderId="26" xfId="0" applyFont="1" applyFill="1" applyBorder="1" applyAlignment="1">
      <alignment horizontal="center"/>
    </xf>
    <xf numFmtId="2" fontId="6" fillId="33" borderId="26" xfId="0" applyNumberFormat="1" applyFont="1" applyFill="1" applyBorder="1" applyAlignment="1" applyProtection="1">
      <alignment horizontal="center"/>
      <protection hidden="1"/>
    </xf>
    <xf numFmtId="0" fontId="8" fillId="33" borderId="21" xfId="0" applyFont="1" applyFill="1" applyBorder="1" applyAlignment="1">
      <alignment/>
    </xf>
    <xf numFmtId="0" fontId="17" fillId="33" borderId="27" xfId="0" applyFont="1" applyFill="1" applyBorder="1" applyAlignment="1">
      <alignment horizontal="left"/>
    </xf>
    <xf numFmtId="0" fontId="6" fillId="33" borderId="25" xfId="0" applyFont="1" applyFill="1" applyBorder="1" applyAlignment="1">
      <alignment/>
    </xf>
    <xf numFmtId="0" fontId="8" fillId="33" borderId="14" xfId="0" applyFont="1" applyFill="1" applyBorder="1" applyAlignment="1">
      <alignment horizontal="right"/>
    </xf>
    <xf numFmtId="0" fontId="6" fillId="33" borderId="14" xfId="0" applyFont="1" applyFill="1" applyBorder="1" applyAlignment="1">
      <alignment horizontal="center"/>
    </xf>
    <xf numFmtId="164" fontId="17" fillId="33" borderId="14" xfId="0" applyNumberFormat="1" applyFont="1" applyFill="1" applyBorder="1" applyAlignment="1">
      <alignment horizontal="center"/>
    </xf>
    <xf numFmtId="0" fontId="17" fillId="33" borderId="18" xfId="0" applyFont="1" applyFill="1" applyBorder="1" applyAlignment="1">
      <alignment/>
    </xf>
    <xf numFmtId="0" fontId="12" fillId="34" borderId="0" xfId="0" applyFont="1" applyFill="1" applyBorder="1" applyAlignment="1">
      <alignment/>
    </xf>
    <xf numFmtId="0" fontId="6" fillId="0" borderId="16" xfId="0" applyFont="1" applyBorder="1" applyAlignment="1">
      <alignment vertical="center" wrapText="1"/>
    </xf>
    <xf numFmtId="0" fontId="8" fillId="0" borderId="16" xfId="0" applyFont="1" applyFill="1" applyBorder="1" applyAlignment="1">
      <alignment horizontal="center"/>
    </xf>
    <xf numFmtId="2" fontId="6" fillId="0" borderId="16" xfId="0" applyNumberFormat="1" applyFont="1" applyBorder="1" applyAlignment="1" applyProtection="1">
      <alignment horizontal="center" vertical="center"/>
      <protection hidden="1"/>
    </xf>
    <xf numFmtId="2" fontId="8" fillId="0" borderId="16" xfId="0" applyNumberFormat="1" applyFont="1" applyBorder="1" applyAlignment="1" applyProtection="1">
      <alignment horizontal="center" vertical="center"/>
      <protection hidden="1"/>
    </xf>
    <xf numFmtId="0" fontId="14" fillId="34" borderId="0" xfId="0" applyFont="1" applyFill="1" applyBorder="1" applyAlignment="1" applyProtection="1">
      <alignment/>
      <protection hidden="1"/>
    </xf>
    <xf numFmtId="0" fontId="11" fillId="0" borderId="16" xfId="0" applyFont="1" applyBorder="1" applyAlignment="1">
      <alignment horizontal="right"/>
    </xf>
    <xf numFmtId="0" fontId="8" fillId="34" borderId="0" xfId="0" applyFont="1" applyFill="1" applyBorder="1" applyAlignment="1">
      <alignment horizontal="right"/>
    </xf>
    <xf numFmtId="2" fontId="18" fillId="34" borderId="0" xfId="0" applyNumberFormat="1" applyFont="1" applyFill="1" applyBorder="1" applyAlignment="1">
      <alignment vertical="center"/>
    </xf>
    <xf numFmtId="0" fontId="8" fillId="0" borderId="16" xfId="0" applyFont="1" applyBorder="1" applyAlignment="1">
      <alignment horizontal="center" vertical="center" wrapText="1"/>
    </xf>
    <xf numFmtId="0" fontId="14" fillId="34" borderId="0" xfId="0" applyFont="1" applyFill="1" applyBorder="1" applyAlignment="1">
      <alignment/>
    </xf>
    <xf numFmtId="0" fontId="6" fillId="34" borderId="28" xfId="0" applyFont="1" applyFill="1" applyBorder="1" applyAlignment="1">
      <alignment/>
    </xf>
    <xf numFmtId="0" fontId="6" fillId="36" borderId="16" xfId="0" applyFont="1" applyFill="1" applyBorder="1" applyAlignment="1">
      <alignment/>
    </xf>
    <xf numFmtId="4" fontId="6" fillId="0" borderId="16" xfId="0" applyNumberFormat="1" applyFont="1" applyBorder="1" applyAlignment="1" applyProtection="1">
      <alignment horizontal="center" vertical="center"/>
      <protection hidden="1"/>
    </xf>
    <xf numFmtId="0" fontId="17" fillId="34" borderId="0" xfId="0" applyFont="1" applyFill="1" applyBorder="1" applyAlignment="1">
      <alignment horizontal="right"/>
    </xf>
    <xf numFmtId="2" fontId="18" fillId="34" borderId="0" xfId="0" applyNumberFormat="1" applyFont="1" applyFill="1" applyBorder="1" applyAlignment="1">
      <alignment horizontal="center"/>
    </xf>
    <xf numFmtId="0" fontId="17" fillId="34" borderId="0" xfId="0" applyFont="1" applyFill="1" applyBorder="1" applyAlignment="1">
      <alignment/>
    </xf>
    <xf numFmtId="0" fontId="6" fillId="34" borderId="25" xfId="0" applyFont="1" applyFill="1" applyBorder="1" applyAlignment="1">
      <alignment/>
    </xf>
    <xf numFmtId="0" fontId="6" fillId="34" borderId="14" xfId="0" applyFont="1" applyFill="1" applyBorder="1" applyAlignment="1">
      <alignment horizontal="center"/>
    </xf>
    <xf numFmtId="2" fontId="18" fillId="34" borderId="14" xfId="0" applyNumberFormat="1" applyFont="1" applyFill="1" applyBorder="1" applyAlignment="1">
      <alignment horizontal="center"/>
    </xf>
    <xf numFmtId="0" fontId="17" fillId="34" borderId="14" xfId="0" applyFont="1" applyFill="1" applyBorder="1" applyAlignment="1">
      <alignment/>
    </xf>
    <xf numFmtId="0" fontId="10" fillId="34" borderId="14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6" fillId="0" borderId="0" xfId="0" applyFont="1" applyFill="1" applyAlignment="1">
      <alignment horizontal="center"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2" fontId="18" fillId="0" borderId="0" xfId="0" applyNumberFormat="1" applyFont="1" applyAlignment="1">
      <alignment horizontal="center"/>
    </xf>
    <xf numFmtId="0" fontId="17" fillId="0" borderId="0" xfId="0" applyFont="1" applyFill="1" applyAlignment="1">
      <alignment/>
    </xf>
    <xf numFmtId="0" fontId="7" fillId="0" borderId="0" xfId="0" applyFont="1" applyFill="1" applyBorder="1" applyAlignment="1">
      <alignment horizontal="center"/>
    </xf>
    <xf numFmtId="0" fontId="8" fillId="33" borderId="12" xfId="0" applyFont="1" applyFill="1" applyBorder="1" applyAlignment="1">
      <alignment horizontal="left"/>
    </xf>
    <xf numFmtId="0" fontId="8" fillId="33" borderId="0" xfId="0" applyFont="1" applyFill="1" applyBorder="1" applyAlignment="1">
      <alignment horizontal="left"/>
    </xf>
    <xf numFmtId="0" fontId="8" fillId="0" borderId="17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16" fillId="37" borderId="17" xfId="0" applyFont="1" applyFill="1" applyBorder="1" applyAlignment="1">
      <alignment horizontal="center"/>
    </xf>
    <xf numFmtId="0" fontId="16" fillId="37" borderId="20" xfId="0" applyFont="1" applyFill="1" applyBorder="1" applyAlignment="1">
      <alignment horizontal="center"/>
    </xf>
    <xf numFmtId="0" fontId="8" fillId="33" borderId="29" xfId="0" applyFont="1" applyFill="1" applyBorder="1" applyAlignment="1">
      <alignment horizontal="left"/>
    </xf>
    <xf numFmtId="0" fontId="8" fillId="33" borderId="26" xfId="0" applyFont="1" applyFill="1" applyBorder="1" applyAlignment="1">
      <alignment horizontal="left"/>
    </xf>
    <xf numFmtId="0" fontId="16" fillId="0" borderId="0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left" vertical="center" wrapText="1"/>
    </xf>
    <xf numFmtId="0" fontId="17" fillId="33" borderId="12" xfId="0" applyFont="1" applyFill="1" applyBorder="1" applyAlignment="1">
      <alignment horizontal="left"/>
    </xf>
    <xf numFmtId="0" fontId="17" fillId="33" borderId="0" xfId="0" applyFont="1" applyFill="1" applyBorder="1" applyAlignment="1">
      <alignment horizontal="left"/>
    </xf>
    <xf numFmtId="2" fontId="16" fillId="37" borderId="16" xfId="0" applyNumberFormat="1" applyFont="1" applyFill="1" applyBorder="1" applyAlignment="1" applyProtection="1">
      <alignment horizontal="center" vertical="center"/>
      <protection hidden="1"/>
    </xf>
    <xf numFmtId="0" fontId="8" fillId="0" borderId="16" xfId="0" applyFont="1" applyBorder="1" applyAlignment="1">
      <alignment horizontal="left"/>
    </xf>
    <xf numFmtId="0" fontId="6" fillId="0" borderId="16" xfId="0" applyFont="1" applyFill="1" applyBorder="1" applyAlignment="1" applyProtection="1">
      <alignment horizontal="center"/>
      <protection/>
    </xf>
    <xf numFmtId="0" fontId="8" fillId="38" borderId="16" xfId="0" applyFont="1" applyFill="1" applyBorder="1" applyAlignment="1">
      <alignment horizontal="left"/>
    </xf>
    <xf numFmtId="0" fontId="16" fillId="37" borderId="16" xfId="0" applyFont="1" applyFill="1" applyBorder="1" applyAlignment="1">
      <alignment horizontal="center"/>
    </xf>
    <xf numFmtId="0" fontId="16" fillId="0" borderId="0" xfId="0" applyNumberFormat="1" applyFont="1" applyFill="1" applyBorder="1" applyAlignment="1">
      <alignment horizontal="center" vertical="center" wrapText="1"/>
    </xf>
    <xf numFmtId="0" fontId="8" fillId="0" borderId="17" xfId="0" applyFont="1" applyFill="1" applyBorder="1" applyAlignment="1" applyProtection="1">
      <alignment horizontal="center"/>
      <protection hidden="1"/>
    </xf>
    <xf numFmtId="0" fontId="8" fillId="0" borderId="20" xfId="0" applyFont="1" applyFill="1" applyBorder="1" applyAlignment="1" applyProtection="1">
      <alignment horizontal="center"/>
      <protection hidden="1"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7" fillId="0" borderId="0" xfId="0" applyFont="1" applyFill="1" applyBorder="1" applyAlignment="1">
      <alignment horizontal="left" vertical="top"/>
    </xf>
    <xf numFmtId="0" fontId="8" fillId="33" borderId="10" xfId="0" applyFont="1" applyFill="1" applyBorder="1" applyAlignment="1">
      <alignment horizontal="left"/>
    </xf>
    <xf numFmtId="0" fontId="8" fillId="33" borderId="11" xfId="0" applyFont="1" applyFill="1" applyBorder="1" applyAlignment="1">
      <alignment horizontal="left"/>
    </xf>
    <xf numFmtId="0" fontId="16" fillId="0" borderId="0" xfId="0" applyFont="1" applyFill="1" applyBorder="1" applyAlignment="1">
      <alignment horizontal="center"/>
    </xf>
    <xf numFmtId="0" fontId="8" fillId="35" borderId="17" xfId="0" applyFont="1" applyFill="1" applyBorder="1" applyAlignment="1">
      <alignment horizontal="left"/>
    </xf>
    <xf numFmtId="0" fontId="8" fillId="35" borderId="19" xfId="0" applyFont="1" applyFill="1" applyBorder="1" applyAlignment="1">
      <alignment horizontal="left"/>
    </xf>
    <xf numFmtId="0" fontId="8" fillId="33" borderId="25" xfId="0" applyFont="1" applyFill="1" applyBorder="1" applyAlignment="1">
      <alignment horizontal="left"/>
    </xf>
    <xf numFmtId="0" fontId="8" fillId="33" borderId="14" xfId="0" applyFont="1" applyFill="1" applyBorder="1" applyAlignment="1">
      <alignment horizontal="left"/>
    </xf>
    <xf numFmtId="0" fontId="11" fillId="33" borderId="10" xfId="0" applyFont="1" applyFill="1" applyBorder="1" applyAlignment="1">
      <alignment horizontal="left"/>
    </xf>
    <xf numFmtId="0" fontId="11" fillId="33" borderId="11" xfId="0" applyFont="1" applyFill="1" applyBorder="1" applyAlignment="1">
      <alignment horizontal="left"/>
    </xf>
    <xf numFmtId="0" fontId="8" fillId="0" borderId="16" xfId="0" applyFont="1" applyBorder="1" applyAlignment="1">
      <alignment horizontal="center"/>
    </xf>
    <xf numFmtId="0" fontId="9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11" fillId="33" borderId="12" xfId="0" applyFont="1" applyFill="1" applyBorder="1" applyAlignment="1">
      <alignment horizontal="left"/>
    </xf>
    <xf numFmtId="0" fontId="11" fillId="33" borderId="0" xfId="0" applyFont="1" applyFill="1" applyBorder="1" applyAlignment="1">
      <alignment horizontal="lef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10"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6.emf" /><Relationship Id="rId3" Type="http://schemas.openxmlformats.org/officeDocument/2006/relationships/image" Target="../media/image15.emf" /><Relationship Id="rId4" Type="http://schemas.openxmlformats.org/officeDocument/2006/relationships/image" Target="../media/image10.emf" /><Relationship Id="rId5" Type="http://schemas.openxmlformats.org/officeDocument/2006/relationships/image" Target="../media/image14.emf" /><Relationship Id="rId6" Type="http://schemas.openxmlformats.org/officeDocument/2006/relationships/image" Target="../media/image11.emf" /><Relationship Id="rId7" Type="http://schemas.openxmlformats.org/officeDocument/2006/relationships/image" Target="../media/image1.emf" /><Relationship Id="rId8" Type="http://schemas.openxmlformats.org/officeDocument/2006/relationships/image" Target="../media/image4.emf" /><Relationship Id="rId9" Type="http://schemas.openxmlformats.org/officeDocument/2006/relationships/image" Target="../media/image3.emf" /><Relationship Id="rId10" Type="http://schemas.openxmlformats.org/officeDocument/2006/relationships/image" Target="../media/image8.emf" /><Relationship Id="rId11" Type="http://schemas.openxmlformats.org/officeDocument/2006/relationships/image" Target="../media/image21.emf" /><Relationship Id="rId12" Type="http://schemas.openxmlformats.org/officeDocument/2006/relationships/image" Target="../media/image24.emf" /><Relationship Id="rId13" Type="http://schemas.openxmlformats.org/officeDocument/2006/relationships/image" Target="../media/image19.emf" /><Relationship Id="rId14" Type="http://schemas.openxmlformats.org/officeDocument/2006/relationships/image" Target="../media/image12.emf" /><Relationship Id="rId15" Type="http://schemas.openxmlformats.org/officeDocument/2006/relationships/image" Target="../media/image18.emf" /><Relationship Id="rId16" Type="http://schemas.openxmlformats.org/officeDocument/2006/relationships/image" Target="../media/image17.emf" /><Relationship Id="rId17" Type="http://schemas.openxmlformats.org/officeDocument/2006/relationships/image" Target="../media/image16.emf" /><Relationship Id="rId18" Type="http://schemas.openxmlformats.org/officeDocument/2006/relationships/image" Target="../media/image9.emf" /><Relationship Id="rId19" Type="http://schemas.openxmlformats.org/officeDocument/2006/relationships/image" Target="../media/image22.emf" /><Relationship Id="rId20" Type="http://schemas.openxmlformats.org/officeDocument/2006/relationships/image" Target="../media/image20.emf" /><Relationship Id="rId21" Type="http://schemas.openxmlformats.org/officeDocument/2006/relationships/image" Target="../media/image5.emf" /><Relationship Id="rId22" Type="http://schemas.openxmlformats.org/officeDocument/2006/relationships/image" Target="../media/image23.emf" /><Relationship Id="rId23" Type="http://schemas.openxmlformats.org/officeDocument/2006/relationships/image" Target="../media/image7.emf" /><Relationship Id="rId24" Type="http://schemas.openxmlformats.org/officeDocument/2006/relationships/image" Target="../media/image26.emf" /><Relationship Id="rId25" Type="http://schemas.openxmlformats.org/officeDocument/2006/relationships/image" Target="../media/image27.emf" /><Relationship Id="rId26" Type="http://schemas.openxmlformats.org/officeDocument/2006/relationships/image" Target="../media/image28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11</xdr:col>
      <xdr:colOff>19050</xdr:colOff>
      <xdr:row>6</xdr:row>
      <xdr:rowOff>171450</xdr:rowOff>
    </xdr:to>
    <xdr:pic>
      <xdr:nvPicPr>
        <xdr:cNvPr id="1" name="2 Imagen" descr="cabecer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08660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66675</xdr:colOff>
      <xdr:row>23</xdr:row>
      <xdr:rowOff>9525</xdr:rowOff>
    </xdr:from>
    <xdr:to>
      <xdr:col>7</xdr:col>
      <xdr:colOff>200025</xdr:colOff>
      <xdr:row>23</xdr:row>
      <xdr:rowOff>190500</xdr:rowOff>
    </xdr:to>
    <xdr:pic>
      <xdr:nvPicPr>
        <xdr:cNvPr id="2" name="OptionButton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76750" y="4352925"/>
          <a:ext cx="1333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66675</xdr:colOff>
      <xdr:row>24</xdr:row>
      <xdr:rowOff>9525</xdr:rowOff>
    </xdr:from>
    <xdr:to>
      <xdr:col>7</xdr:col>
      <xdr:colOff>200025</xdr:colOff>
      <xdr:row>24</xdr:row>
      <xdr:rowOff>190500</xdr:rowOff>
    </xdr:to>
    <xdr:pic>
      <xdr:nvPicPr>
        <xdr:cNvPr id="3" name="OptionButton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476750" y="4562475"/>
          <a:ext cx="1333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66675</xdr:colOff>
      <xdr:row>25</xdr:row>
      <xdr:rowOff>19050</xdr:rowOff>
    </xdr:from>
    <xdr:to>
      <xdr:col>7</xdr:col>
      <xdr:colOff>200025</xdr:colOff>
      <xdr:row>26</xdr:row>
      <xdr:rowOff>0</xdr:rowOff>
    </xdr:to>
    <xdr:pic>
      <xdr:nvPicPr>
        <xdr:cNvPr id="4" name="OptionButton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476750" y="4781550"/>
          <a:ext cx="13335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76200</xdr:colOff>
      <xdr:row>28</xdr:row>
      <xdr:rowOff>47625</xdr:rowOff>
    </xdr:from>
    <xdr:to>
      <xdr:col>7</xdr:col>
      <xdr:colOff>209550</xdr:colOff>
      <xdr:row>28</xdr:row>
      <xdr:rowOff>180975</xdr:rowOff>
    </xdr:to>
    <xdr:pic>
      <xdr:nvPicPr>
        <xdr:cNvPr id="5" name="OptionButton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486275" y="5438775"/>
          <a:ext cx="1333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85725</xdr:colOff>
      <xdr:row>29</xdr:row>
      <xdr:rowOff>38100</xdr:rowOff>
    </xdr:from>
    <xdr:to>
      <xdr:col>7</xdr:col>
      <xdr:colOff>219075</xdr:colOff>
      <xdr:row>29</xdr:row>
      <xdr:rowOff>180975</xdr:rowOff>
    </xdr:to>
    <xdr:pic>
      <xdr:nvPicPr>
        <xdr:cNvPr id="6" name="OptionButton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495800" y="5638800"/>
          <a:ext cx="1333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85725</xdr:colOff>
      <xdr:row>30</xdr:row>
      <xdr:rowOff>19050</xdr:rowOff>
    </xdr:from>
    <xdr:to>
      <xdr:col>7</xdr:col>
      <xdr:colOff>219075</xdr:colOff>
      <xdr:row>31</xdr:row>
      <xdr:rowOff>0</xdr:rowOff>
    </xdr:to>
    <xdr:pic>
      <xdr:nvPicPr>
        <xdr:cNvPr id="7" name="OptionButton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495800" y="5829300"/>
          <a:ext cx="13335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85725</xdr:colOff>
      <xdr:row>13</xdr:row>
      <xdr:rowOff>19050</xdr:rowOff>
    </xdr:from>
    <xdr:to>
      <xdr:col>7</xdr:col>
      <xdr:colOff>219075</xdr:colOff>
      <xdr:row>14</xdr:row>
      <xdr:rowOff>0</xdr:rowOff>
    </xdr:to>
    <xdr:pic>
      <xdr:nvPicPr>
        <xdr:cNvPr id="8" name="OptionButton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495800" y="2266950"/>
          <a:ext cx="13335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76200</xdr:colOff>
      <xdr:row>14</xdr:row>
      <xdr:rowOff>38100</xdr:rowOff>
    </xdr:from>
    <xdr:to>
      <xdr:col>7</xdr:col>
      <xdr:colOff>209550</xdr:colOff>
      <xdr:row>15</xdr:row>
      <xdr:rowOff>19050</xdr:rowOff>
    </xdr:to>
    <xdr:pic>
      <xdr:nvPicPr>
        <xdr:cNvPr id="9" name="OptionButton1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486275" y="2495550"/>
          <a:ext cx="13335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1200150</xdr:colOff>
      <xdr:row>9</xdr:row>
      <xdr:rowOff>0</xdr:rowOff>
    </xdr:from>
    <xdr:to>
      <xdr:col>8</xdr:col>
      <xdr:colOff>0</xdr:colOff>
      <xdr:row>10</xdr:row>
      <xdr:rowOff>38100</xdr:rowOff>
    </xdr:to>
    <xdr:pic>
      <xdr:nvPicPr>
        <xdr:cNvPr id="10" name="ComboBox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752600" y="1428750"/>
          <a:ext cx="29337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66675</xdr:colOff>
      <xdr:row>33</xdr:row>
      <xdr:rowOff>19050</xdr:rowOff>
    </xdr:from>
    <xdr:to>
      <xdr:col>7</xdr:col>
      <xdr:colOff>209550</xdr:colOff>
      <xdr:row>34</xdr:row>
      <xdr:rowOff>0</xdr:rowOff>
    </xdr:to>
    <xdr:pic>
      <xdr:nvPicPr>
        <xdr:cNvPr id="11" name="OptionButton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476750" y="6457950"/>
          <a:ext cx="142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66675</xdr:colOff>
      <xdr:row>34</xdr:row>
      <xdr:rowOff>19050</xdr:rowOff>
    </xdr:from>
    <xdr:to>
      <xdr:col>7</xdr:col>
      <xdr:colOff>209550</xdr:colOff>
      <xdr:row>35</xdr:row>
      <xdr:rowOff>0</xdr:rowOff>
    </xdr:to>
    <xdr:pic>
      <xdr:nvPicPr>
        <xdr:cNvPr id="12" name="OptionButton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4476750" y="6667500"/>
          <a:ext cx="142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66675</xdr:colOff>
      <xdr:row>35</xdr:row>
      <xdr:rowOff>19050</xdr:rowOff>
    </xdr:from>
    <xdr:to>
      <xdr:col>7</xdr:col>
      <xdr:colOff>209550</xdr:colOff>
      <xdr:row>36</xdr:row>
      <xdr:rowOff>0</xdr:rowOff>
    </xdr:to>
    <xdr:pic>
      <xdr:nvPicPr>
        <xdr:cNvPr id="13" name="OptionButton12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476750" y="6877050"/>
          <a:ext cx="142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66675</xdr:colOff>
      <xdr:row>36</xdr:row>
      <xdr:rowOff>19050</xdr:rowOff>
    </xdr:from>
    <xdr:to>
      <xdr:col>7</xdr:col>
      <xdr:colOff>209550</xdr:colOff>
      <xdr:row>37</xdr:row>
      <xdr:rowOff>0</xdr:rowOff>
    </xdr:to>
    <xdr:pic>
      <xdr:nvPicPr>
        <xdr:cNvPr id="14" name="OptionButton10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4476750" y="7086600"/>
          <a:ext cx="142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123825</xdr:colOff>
      <xdr:row>62</xdr:row>
      <xdr:rowOff>9525</xdr:rowOff>
    </xdr:from>
    <xdr:to>
      <xdr:col>1</xdr:col>
      <xdr:colOff>257175</xdr:colOff>
      <xdr:row>63</xdr:row>
      <xdr:rowOff>0</xdr:rowOff>
    </xdr:to>
    <xdr:pic>
      <xdr:nvPicPr>
        <xdr:cNvPr id="15" name="OptionButton13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314325" y="12525375"/>
          <a:ext cx="1333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123825</xdr:colOff>
      <xdr:row>63</xdr:row>
      <xdr:rowOff>9525</xdr:rowOff>
    </xdr:from>
    <xdr:to>
      <xdr:col>1</xdr:col>
      <xdr:colOff>257175</xdr:colOff>
      <xdr:row>63</xdr:row>
      <xdr:rowOff>142875</xdr:rowOff>
    </xdr:to>
    <xdr:pic>
      <xdr:nvPicPr>
        <xdr:cNvPr id="16" name="OptionButton14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314325" y="12734925"/>
          <a:ext cx="1333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95250</xdr:colOff>
      <xdr:row>47</xdr:row>
      <xdr:rowOff>19050</xdr:rowOff>
    </xdr:from>
    <xdr:to>
      <xdr:col>7</xdr:col>
      <xdr:colOff>238125</xdr:colOff>
      <xdr:row>48</xdr:row>
      <xdr:rowOff>9525</xdr:rowOff>
    </xdr:to>
    <xdr:pic>
      <xdr:nvPicPr>
        <xdr:cNvPr id="17" name="OptionButton17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505325" y="9391650"/>
          <a:ext cx="1428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95250</xdr:colOff>
      <xdr:row>48</xdr:row>
      <xdr:rowOff>38100</xdr:rowOff>
    </xdr:from>
    <xdr:to>
      <xdr:col>7</xdr:col>
      <xdr:colOff>238125</xdr:colOff>
      <xdr:row>49</xdr:row>
      <xdr:rowOff>19050</xdr:rowOff>
    </xdr:to>
    <xdr:pic>
      <xdr:nvPicPr>
        <xdr:cNvPr id="18" name="OptionButton18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4505325" y="9620250"/>
          <a:ext cx="142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66675</xdr:colOff>
      <xdr:row>15</xdr:row>
      <xdr:rowOff>19050</xdr:rowOff>
    </xdr:from>
    <xdr:to>
      <xdr:col>7</xdr:col>
      <xdr:colOff>200025</xdr:colOff>
      <xdr:row>16</xdr:row>
      <xdr:rowOff>0</xdr:rowOff>
    </xdr:to>
    <xdr:pic>
      <xdr:nvPicPr>
        <xdr:cNvPr id="19" name="OptionButton15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4476750" y="2686050"/>
          <a:ext cx="13335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85725</xdr:colOff>
      <xdr:row>18</xdr:row>
      <xdr:rowOff>47625</xdr:rowOff>
    </xdr:from>
    <xdr:to>
      <xdr:col>7</xdr:col>
      <xdr:colOff>228600</xdr:colOff>
      <xdr:row>18</xdr:row>
      <xdr:rowOff>171450</xdr:rowOff>
    </xdr:to>
    <xdr:pic>
      <xdr:nvPicPr>
        <xdr:cNvPr id="20" name="OptionButton16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4495800" y="3343275"/>
          <a:ext cx="1428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85725</xdr:colOff>
      <xdr:row>19</xdr:row>
      <xdr:rowOff>47625</xdr:rowOff>
    </xdr:from>
    <xdr:to>
      <xdr:col>7</xdr:col>
      <xdr:colOff>228600</xdr:colOff>
      <xdr:row>19</xdr:row>
      <xdr:rowOff>171450</xdr:rowOff>
    </xdr:to>
    <xdr:pic>
      <xdr:nvPicPr>
        <xdr:cNvPr id="21" name="OptionButton19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4495800" y="3552825"/>
          <a:ext cx="1428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85725</xdr:colOff>
      <xdr:row>20</xdr:row>
      <xdr:rowOff>47625</xdr:rowOff>
    </xdr:from>
    <xdr:to>
      <xdr:col>7</xdr:col>
      <xdr:colOff>228600</xdr:colOff>
      <xdr:row>20</xdr:row>
      <xdr:rowOff>171450</xdr:rowOff>
    </xdr:to>
    <xdr:pic>
      <xdr:nvPicPr>
        <xdr:cNvPr id="22" name="OptionButton20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4495800" y="3762375"/>
          <a:ext cx="1428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1085850</xdr:colOff>
      <xdr:row>11</xdr:row>
      <xdr:rowOff>19050</xdr:rowOff>
    </xdr:from>
    <xdr:to>
      <xdr:col>2</xdr:col>
      <xdr:colOff>1600200</xdr:colOff>
      <xdr:row>11</xdr:row>
      <xdr:rowOff>180975</xdr:rowOff>
    </xdr:to>
    <xdr:pic>
      <xdr:nvPicPr>
        <xdr:cNvPr id="23" name="SpinButton1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1638300" y="1847850"/>
          <a:ext cx="5143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1085850</xdr:colOff>
      <xdr:row>12</xdr:row>
      <xdr:rowOff>9525</xdr:rowOff>
    </xdr:from>
    <xdr:to>
      <xdr:col>2</xdr:col>
      <xdr:colOff>1600200</xdr:colOff>
      <xdr:row>12</xdr:row>
      <xdr:rowOff>171450</xdr:rowOff>
    </xdr:to>
    <xdr:pic>
      <xdr:nvPicPr>
        <xdr:cNvPr id="24" name="SpinButton2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1638300" y="2047875"/>
          <a:ext cx="5143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76200</xdr:colOff>
      <xdr:row>19</xdr:row>
      <xdr:rowOff>38100</xdr:rowOff>
    </xdr:from>
    <xdr:to>
      <xdr:col>3</xdr:col>
      <xdr:colOff>257175</xdr:colOff>
      <xdr:row>19</xdr:row>
      <xdr:rowOff>190500</xdr:rowOff>
    </xdr:to>
    <xdr:pic>
      <xdr:nvPicPr>
        <xdr:cNvPr id="25" name="OptionButton21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2238375" y="3543300"/>
          <a:ext cx="1809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76200</xdr:colOff>
      <xdr:row>20</xdr:row>
      <xdr:rowOff>38100</xdr:rowOff>
    </xdr:from>
    <xdr:to>
      <xdr:col>3</xdr:col>
      <xdr:colOff>257175</xdr:colOff>
      <xdr:row>20</xdr:row>
      <xdr:rowOff>190500</xdr:rowOff>
    </xdr:to>
    <xdr:pic>
      <xdr:nvPicPr>
        <xdr:cNvPr id="26" name="OptionButton22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2238375" y="3752850"/>
          <a:ext cx="1809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1085850</xdr:colOff>
      <xdr:row>20</xdr:row>
      <xdr:rowOff>19050</xdr:rowOff>
    </xdr:from>
    <xdr:to>
      <xdr:col>2</xdr:col>
      <xdr:colOff>1600200</xdr:colOff>
      <xdr:row>20</xdr:row>
      <xdr:rowOff>180975</xdr:rowOff>
    </xdr:to>
    <xdr:pic>
      <xdr:nvPicPr>
        <xdr:cNvPr id="27" name="SpinButton3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1638300" y="3733800"/>
          <a:ext cx="5143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0</xdr:colOff>
      <xdr:row>1</xdr:row>
      <xdr:rowOff>9525</xdr:rowOff>
    </xdr:to>
    <xdr:pic>
      <xdr:nvPicPr>
        <xdr:cNvPr id="1" name="2 Imagen" descr="cabecer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3340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6">
    <pageSetUpPr fitToPage="1"/>
  </sheetPr>
  <dimension ref="A8:AU88"/>
  <sheetViews>
    <sheetView showZeros="0" tabSelected="1" zoomScalePageLayoutView="0" workbookViewId="0" topLeftCell="A52">
      <selection activeCell="F17" sqref="F17"/>
    </sheetView>
  </sheetViews>
  <sheetFormatPr defaultColWidth="11.421875" defaultRowHeight="12.75"/>
  <cols>
    <col min="1" max="1" width="2.8515625" style="7" customWidth="1"/>
    <col min="2" max="2" width="5.421875" style="7" customWidth="1"/>
    <col min="3" max="3" width="24.140625" style="7" customWidth="1"/>
    <col min="4" max="4" width="13.57421875" style="8" customWidth="1"/>
    <col min="5" max="5" width="6.57421875" style="8" customWidth="1"/>
    <col min="6" max="6" width="7.00390625" style="7" customWidth="1"/>
    <col min="7" max="7" width="6.57421875" style="9" customWidth="1"/>
    <col min="8" max="8" width="4.140625" style="7" customWidth="1"/>
    <col min="9" max="9" width="10.7109375" style="7" customWidth="1"/>
    <col min="10" max="10" width="19.28125" style="7" customWidth="1"/>
    <col min="11" max="12" width="5.7109375" style="10" customWidth="1"/>
    <col min="13" max="13" width="15.7109375" style="10" hidden="1" customWidth="1"/>
    <col min="14" max="14" width="10.7109375" style="10" hidden="1" customWidth="1"/>
    <col min="15" max="15" width="8.140625" style="10" hidden="1" customWidth="1"/>
    <col min="16" max="16" width="10.421875" style="10" hidden="1" customWidth="1"/>
    <col min="17" max="17" width="7.140625" style="10" hidden="1" customWidth="1"/>
    <col min="18" max="18" width="10.421875" style="10" hidden="1" customWidth="1"/>
    <col min="19" max="19" width="9.57421875" style="10" hidden="1" customWidth="1"/>
    <col min="20" max="28" width="7.140625" style="10" hidden="1" customWidth="1"/>
    <col min="29" max="29" width="11.57421875" style="7" hidden="1" customWidth="1"/>
    <col min="30" max="30" width="0" style="11" hidden="1" customWidth="1"/>
    <col min="31" max="34" width="11.57421875" style="7" hidden="1" customWidth="1"/>
    <col min="35" max="16384" width="11.57421875" style="7" customWidth="1"/>
  </cols>
  <sheetData>
    <row r="1" ht="14.25"/>
    <row r="2" ht="13.5" customHeight="1"/>
    <row r="3" ht="12.75" customHeight="1"/>
    <row r="4" ht="10.5" customHeight="1"/>
    <row r="5" ht="9.75" customHeight="1"/>
    <row r="6" ht="11.25" customHeight="1"/>
    <row r="7" ht="14.25"/>
    <row r="8" spans="1:47" ht="13.5">
      <c r="A8" s="12"/>
      <c r="B8" s="13"/>
      <c r="C8" s="13"/>
      <c r="D8" s="14"/>
      <c r="E8" s="14"/>
      <c r="F8" s="13"/>
      <c r="G8" s="13"/>
      <c r="H8" s="15"/>
      <c r="I8" s="13"/>
      <c r="J8" s="13"/>
      <c r="K8" s="13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7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</row>
    <row r="9" spans="1:47" ht="12.75" customHeight="1">
      <c r="A9" s="18"/>
      <c r="B9" s="19"/>
      <c r="C9" s="20" t="s">
        <v>0</v>
      </c>
      <c r="D9" s="21" t="s">
        <v>140</v>
      </c>
      <c r="E9" s="22"/>
      <c r="F9" s="23"/>
      <c r="G9" s="23"/>
      <c r="H9" s="24"/>
      <c r="I9" s="19"/>
      <c r="J9" s="19"/>
      <c r="K9" s="19"/>
      <c r="L9" s="16"/>
      <c r="M9" s="201" t="s">
        <v>82</v>
      </c>
      <c r="N9" s="202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7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</row>
    <row r="10" spans="1:47" ht="15.75" customHeight="1">
      <c r="A10" s="18"/>
      <c r="B10" s="19"/>
      <c r="C10" s="20" t="s">
        <v>1</v>
      </c>
      <c r="D10" s="26" t="e">
        <f>IF(D14=#REF!,"Pulverizador de barras suspendido","Pulverizador de barras arrastrado")</f>
        <v>#REF!</v>
      </c>
      <c r="E10" s="27"/>
      <c r="F10" s="27"/>
      <c r="G10" s="28"/>
      <c r="H10" s="19"/>
      <c r="I10" s="19"/>
      <c r="J10" s="19"/>
      <c r="K10" s="29"/>
      <c r="L10" s="16"/>
      <c r="M10" s="16"/>
      <c r="N10" s="30"/>
      <c r="O10" s="166"/>
      <c r="P10" s="16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7"/>
      <c r="AE10" s="16"/>
      <c r="AF10" s="32"/>
      <c r="AG10" s="32"/>
      <c r="AH10" s="32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</row>
    <row r="11" spans="1:47" ht="15.75" customHeight="1">
      <c r="A11" s="18"/>
      <c r="B11" s="19"/>
      <c r="C11" s="20"/>
      <c r="D11" s="26"/>
      <c r="E11" s="27"/>
      <c r="F11" s="27"/>
      <c r="G11" s="28"/>
      <c r="H11" s="19"/>
      <c r="I11" s="19"/>
      <c r="J11" s="19"/>
      <c r="K11" s="29"/>
      <c r="L11" s="16"/>
      <c r="M11" s="16"/>
      <c r="N11" s="30"/>
      <c r="O11" s="16"/>
      <c r="P11" s="31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7"/>
      <c r="AE11" s="16"/>
      <c r="AF11" s="32"/>
      <c r="AG11" s="32"/>
      <c r="AH11" s="32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</row>
    <row r="12" spans="1:47" ht="16.5" customHeight="1">
      <c r="A12" s="18"/>
      <c r="B12" s="198" t="s">
        <v>102</v>
      </c>
      <c r="C12" s="199"/>
      <c r="D12" s="33">
        <f>+F12/2</f>
        <v>4</v>
      </c>
      <c r="E12" s="34" t="s">
        <v>4</v>
      </c>
      <c r="F12" s="35">
        <v>8</v>
      </c>
      <c r="G12" s="28"/>
      <c r="H12" s="19"/>
      <c r="I12" s="19"/>
      <c r="J12" s="36"/>
      <c r="K12" s="29"/>
      <c r="L12" s="16"/>
      <c r="M12" s="16"/>
      <c r="N12" s="30"/>
      <c r="O12" s="16"/>
      <c r="P12" s="31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 t="b">
        <f>IF(+AF14="Atomizador suspendido",1)</f>
        <v>0</v>
      </c>
      <c r="AC12" s="31">
        <v>400</v>
      </c>
      <c r="AD12" s="37">
        <v>600</v>
      </c>
      <c r="AE12" s="31">
        <v>1000</v>
      </c>
      <c r="AF12" s="32" t="s">
        <v>98</v>
      </c>
      <c r="AG12" s="32"/>
      <c r="AH12" s="32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</row>
    <row r="13" spans="1:47" ht="16.5" customHeight="1">
      <c r="A13" s="18"/>
      <c r="B13" s="38" t="s">
        <v>104</v>
      </c>
      <c r="C13" s="39"/>
      <c r="D13" s="40">
        <f>+F13/2</f>
        <v>4</v>
      </c>
      <c r="E13" s="41" t="s">
        <v>4</v>
      </c>
      <c r="F13" s="42">
        <v>8</v>
      </c>
      <c r="G13" s="19"/>
      <c r="H13" s="24"/>
      <c r="I13" s="188" t="s">
        <v>101</v>
      </c>
      <c r="J13" s="189"/>
      <c r="K13" s="22"/>
      <c r="L13" s="16"/>
      <c r="M13" s="16"/>
      <c r="N13" s="30"/>
      <c r="O13" s="16"/>
      <c r="P13" s="31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31">
        <v>1200</v>
      </c>
      <c r="AD13" s="37">
        <v>2000</v>
      </c>
      <c r="AE13" s="31">
        <v>3000</v>
      </c>
      <c r="AF13" s="32" t="s">
        <v>97</v>
      </c>
      <c r="AG13" s="43"/>
      <c r="AH13" s="32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</row>
    <row r="14" spans="1:47" ht="16.5" customHeight="1">
      <c r="A14" s="18"/>
      <c r="B14" s="167" t="s">
        <v>59</v>
      </c>
      <c r="C14" s="168"/>
      <c r="D14" s="46">
        <f>IF(K14=TRUE,J14,IF(K15=TRUE,J15,IF(K16=TRUE,J16)))</f>
        <v>2000</v>
      </c>
      <c r="E14" s="47" t="s">
        <v>53</v>
      </c>
      <c r="F14" s="19"/>
      <c r="G14" s="19"/>
      <c r="H14" s="48"/>
      <c r="I14" s="49" t="s">
        <v>2</v>
      </c>
      <c r="J14" s="50">
        <f>IF(AB12,AC12,AC13)</f>
        <v>1200</v>
      </c>
      <c r="K14" s="42" t="b">
        <v>0</v>
      </c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31">
        <v>10000</v>
      </c>
      <c r="AD14" s="37">
        <v>20000</v>
      </c>
      <c r="AE14" s="31">
        <v>30000</v>
      </c>
      <c r="AF14" s="32" t="s">
        <v>97</v>
      </c>
      <c r="AG14" s="32"/>
      <c r="AH14" s="32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</row>
    <row r="15" spans="1:47" ht="16.5" customHeight="1">
      <c r="A15" s="18"/>
      <c r="B15" s="167" t="s">
        <v>48</v>
      </c>
      <c r="C15" s="168"/>
      <c r="D15" s="46">
        <f>0.5*D14</f>
        <v>1000</v>
      </c>
      <c r="E15" s="47" t="s">
        <v>7</v>
      </c>
      <c r="F15" s="19"/>
      <c r="G15" s="19"/>
      <c r="H15" s="48"/>
      <c r="I15" s="49" t="s">
        <v>3</v>
      </c>
      <c r="J15" s="50">
        <f>IF(AB12,AD12,AD13)</f>
        <v>2000</v>
      </c>
      <c r="K15" s="42" t="b">
        <v>1</v>
      </c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31">
        <v>30000</v>
      </c>
      <c r="AD15" s="37">
        <v>45000</v>
      </c>
      <c r="AE15" s="31">
        <v>60000</v>
      </c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</row>
    <row r="16" spans="1:47" ht="16.5" customHeight="1">
      <c r="A16" s="18"/>
      <c r="B16" s="44" t="s">
        <v>99</v>
      </c>
      <c r="C16" s="51"/>
      <c r="D16" s="52">
        <f>IF(K19,J19,IF(K20,J20,IF(K21,J21)))</f>
        <v>45000</v>
      </c>
      <c r="E16" s="47" t="s">
        <v>103</v>
      </c>
      <c r="F16" s="19"/>
      <c r="G16" s="19"/>
      <c r="H16" s="48"/>
      <c r="I16" s="53" t="s">
        <v>5</v>
      </c>
      <c r="J16" s="50">
        <f>IF(AB12,AE12,AE13)</f>
        <v>3000</v>
      </c>
      <c r="K16" s="42" t="b">
        <v>0</v>
      </c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7" t="b">
        <v>1</v>
      </c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</row>
    <row r="17" spans="1:47" ht="16.5" customHeight="1">
      <c r="A17" s="18"/>
      <c r="B17" s="167" t="s">
        <v>56</v>
      </c>
      <c r="C17" s="168"/>
      <c r="D17" s="52">
        <f>0.1*D14</f>
        <v>200</v>
      </c>
      <c r="E17" s="47" t="s">
        <v>73</v>
      </c>
      <c r="F17" s="19"/>
      <c r="G17" s="19"/>
      <c r="H17" s="19"/>
      <c r="I17" s="19"/>
      <c r="J17" s="19"/>
      <c r="K17" s="54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7" t="b">
        <v>1</v>
      </c>
      <c r="AE17" s="16"/>
      <c r="AF17" s="16"/>
      <c r="AG17" s="30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</row>
    <row r="18" spans="1:47" ht="16.5" customHeight="1">
      <c r="A18" s="18"/>
      <c r="B18" s="167" t="s">
        <v>57</v>
      </c>
      <c r="C18" s="168"/>
      <c r="D18" s="52">
        <v>20</v>
      </c>
      <c r="E18" s="47" t="s">
        <v>58</v>
      </c>
      <c r="F18" s="19"/>
      <c r="G18" s="19"/>
      <c r="H18" s="24"/>
      <c r="I18" s="187" t="s">
        <v>100</v>
      </c>
      <c r="J18" s="187"/>
      <c r="K18" s="42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7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</row>
    <row r="19" spans="1:47" ht="16.5" customHeight="1">
      <c r="A19" s="18"/>
      <c r="B19" s="167" t="s">
        <v>105</v>
      </c>
      <c r="C19" s="168"/>
      <c r="D19" s="55">
        <f>(D17*D18/600)*(1+50/100)</f>
        <v>10</v>
      </c>
      <c r="E19" s="47" t="s">
        <v>39</v>
      </c>
      <c r="F19" s="54" t="b">
        <v>0</v>
      </c>
      <c r="G19" s="19"/>
      <c r="H19" s="56"/>
      <c r="I19" s="49" t="s">
        <v>61</v>
      </c>
      <c r="J19" s="50">
        <f>IF(AB12,AC14,AC15)</f>
        <v>30000</v>
      </c>
      <c r="K19" s="42" t="b">
        <v>0</v>
      </c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7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</row>
    <row r="20" spans="1:47" ht="16.5" customHeight="1">
      <c r="A20" s="18"/>
      <c r="B20" s="167" t="s">
        <v>107</v>
      </c>
      <c r="C20" s="168"/>
      <c r="D20" s="57">
        <f>2.5*D16/(D13*D12*1000)</f>
        <v>7.03125</v>
      </c>
      <c r="E20" s="47" t="s">
        <v>6</v>
      </c>
      <c r="F20" s="54"/>
      <c r="G20" s="19"/>
      <c r="H20" s="56"/>
      <c r="I20" s="49" t="s">
        <v>62</v>
      </c>
      <c r="J20" s="50">
        <f>IF(AB12,AD14,AD15)</f>
        <v>45000</v>
      </c>
      <c r="K20" s="42" t="b">
        <v>1</v>
      </c>
      <c r="L20" s="16"/>
      <c r="M20" s="31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7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</row>
    <row r="21" spans="1:47" ht="16.5" customHeight="1">
      <c r="A21" s="18"/>
      <c r="B21" s="203" t="s">
        <v>47</v>
      </c>
      <c r="C21" s="204"/>
      <c r="D21" s="58">
        <f>+F22/2</f>
        <v>4</v>
      </c>
      <c r="E21" s="47" t="s">
        <v>6</v>
      </c>
      <c r="F21" s="54" t="b">
        <v>1</v>
      </c>
      <c r="G21" s="19"/>
      <c r="H21" s="56"/>
      <c r="I21" s="49" t="s">
        <v>63</v>
      </c>
      <c r="J21" s="50">
        <f>IF(AB12,AE14,AE15)</f>
        <v>60000</v>
      </c>
      <c r="K21" s="42" t="b">
        <v>0</v>
      </c>
      <c r="L21" s="31"/>
      <c r="M21" s="31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7" t="b">
        <v>0</v>
      </c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</row>
    <row r="22" spans="1:47" ht="16.5" customHeight="1">
      <c r="A22" s="18"/>
      <c r="B22" s="44" t="s">
        <v>60</v>
      </c>
      <c r="C22" s="45"/>
      <c r="D22" s="52">
        <v>0.1</v>
      </c>
      <c r="E22" s="47"/>
      <c r="F22" s="59">
        <v>8</v>
      </c>
      <c r="G22" s="19"/>
      <c r="H22" s="19"/>
      <c r="I22" s="19"/>
      <c r="J22" s="19"/>
      <c r="K22" s="42"/>
      <c r="L22" s="31"/>
      <c r="M22" s="31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7" t="b">
        <v>1</v>
      </c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</row>
    <row r="23" spans="1:47" ht="16.5" customHeight="1">
      <c r="A23" s="18"/>
      <c r="B23" s="44" t="s">
        <v>55</v>
      </c>
      <c r="C23" s="45"/>
      <c r="D23" s="60">
        <f>(D19+((D14+D15))*9.8*D21*D22/3600)+D16*0.5/1000</f>
        <v>35.766666666666666</v>
      </c>
      <c r="E23" s="47" t="s">
        <v>39</v>
      </c>
      <c r="F23" s="19"/>
      <c r="G23" s="19"/>
      <c r="H23" s="24"/>
      <c r="I23" s="188" t="s">
        <v>8</v>
      </c>
      <c r="J23" s="189"/>
      <c r="K23" s="22"/>
      <c r="L23" s="31"/>
      <c r="M23" s="166" t="s">
        <v>72</v>
      </c>
      <c r="N23" s="16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7" t="b">
        <v>0</v>
      </c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</row>
    <row r="24" spans="1:47" ht="16.5" customHeight="1">
      <c r="A24" s="18"/>
      <c r="B24" s="61"/>
      <c r="C24" s="62" t="s">
        <v>106</v>
      </c>
      <c r="D24" s="60">
        <f>D23*1.36</f>
        <v>48.64266666666667</v>
      </c>
      <c r="E24" s="47" t="s">
        <v>13</v>
      </c>
      <c r="F24" s="19"/>
      <c r="G24" s="19"/>
      <c r="H24" s="48"/>
      <c r="I24" s="49" t="s">
        <v>2</v>
      </c>
      <c r="J24" s="50">
        <v>0.35</v>
      </c>
      <c r="K24" s="22"/>
      <c r="L24" s="31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7" t="b">
        <v>0</v>
      </c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</row>
    <row r="25" spans="1:47" ht="16.5" customHeight="1">
      <c r="A25" s="18"/>
      <c r="B25" s="44" t="s">
        <v>74</v>
      </c>
      <c r="C25" s="45"/>
      <c r="D25" s="60">
        <f>D24/0.75</f>
        <v>64.85688888888889</v>
      </c>
      <c r="E25" s="47" t="s">
        <v>13</v>
      </c>
      <c r="F25" s="19"/>
      <c r="G25" s="19"/>
      <c r="H25" s="48"/>
      <c r="I25" s="49" t="s">
        <v>3</v>
      </c>
      <c r="J25" s="63">
        <v>0.5</v>
      </c>
      <c r="K25" s="22"/>
      <c r="L25" s="16"/>
      <c r="M25" s="31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7" t="b">
        <v>1</v>
      </c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</row>
    <row r="26" spans="1:47" ht="16.5" customHeight="1">
      <c r="A26" s="18"/>
      <c r="B26" s="64"/>
      <c r="C26" s="10"/>
      <c r="D26" s="65">
        <f>IF(F19,D20,D21)</f>
        <v>4</v>
      </c>
      <c r="E26" s="66"/>
      <c r="F26" s="19"/>
      <c r="G26" s="19"/>
      <c r="H26" s="48"/>
      <c r="I26" s="49" t="s">
        <v>5</v>
      </c>
      <c r="J26" s="50">
        <v>0.65</v>
      </c>
      <c r="K26" s="19"/>
      <c r="L26" s="31"/>
      <c r="M26" s="193" t="s">
        <v>52</v>
      </c>
      <c r="N26" s="193"/>
      <c r="O26" s="31"/>
      <c r="P26" s="31"/>
      <c r="Q26" s="67"/>
      <c r="R26" s="67"/>
      <c r="S26" s="67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7" t="b">
        <v>0</v>
      </c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</row>
    <row r="27" spans="1:47" ht="16.5" customHeight="1">
      <c r="A27" s="18"/>
      <c r="B27" s="167" t="s">
        <v>69</v>
      </c>
      <c r="C27" s="168"/>
      <c r="D27" s="68">
        <f>10/(D12*D26)</f>
        <v>0.625</v>
      </c>
      <c r="E27" s="47" t="s">
        <v>9</v>
      </c>
      <c r="F27" s="19"/>
      <c r="G27" s="19"/>
      <c r="H27" s="24"/>
      <c r="I27" s="19"/>
      <c r="J27" s="19"/>
      <c r="K27" s="22"/>
      <c r="L27" s="31"/>
      <c r="M27" s="16"/>
      <c r="N27" s="16" t="s">
        <v>49</v>
      </c>
      <c r="O27" s="31"/>
      <c r="P27" s="31"/>
      <c r="Q27" s="67"/>
      <c r="R27" s="67"/>
      <c r="S27" s="67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7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</row>
    <row r="28" spans="1:47" ht="16.5" customHeight="1">
      <c r="A28" s="18"/>
      <c r="B28" s="167" t="s">
        <v>10</v>
      </c>
      <c r="C28" s="168"/>
      <c r="D28" s="52">
        <f>IF(AD21=TRUE,J24,IF(AD22=TRUE,J25,IF(AD23=TRUE,J26)))</f>
        <v>0.5</v>
      </c>
      <c r="E28" s="69"/>
      <c r="F28" s="19"/>
      <c r="G28" s="19"/>
      <c r="H28" s="24"/>
      <c r="I28" s="187" t="s">
        <v>12</v>
      </c>
      <c r="J28" s="187"/>
      <c r="K28" s="22"/>
      <c r="L28" s="31"/>
      <c r="M28" s="16" t="s">
        <v>50</v>
      </c>
      <c r="N28" s="31"/>
      <c r="O28" s="31"/>
      <c r="P28" s="16"/>
      <c r="Q28" s="67"/>
      <c r="R28" s="67"/>
      <c r="S28" s="67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7" t="b">
        <v>0</v>
      </c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</row>
    <row r="29" spans="1:47" ht="16.5" customHeight="1">
      <c r="A29" s="18"/>
      <c r="B29" s="177" t="s">
        <v>70</v>
      </c>
      <c r="C29" s="178"/>
      <c r="D29" s="70">
        <f>D27/D28</f>
        <v>1.25</v>
      </c>
      <c r="E29" s="71" t="s">
        <v>9</v>
      </c>
      <c r="F29" s="19"/>
      <c r="G29" s="19"/>
      <c r="H29" s="48"/>
      <c r="I29" s="49" t="s">
        <v>61</v>
      </c>
      <c r="J29" s="50">
        <v>25</v>
      </c>
      <c r="K29" s="22"/>
      <c r="L29" s="31"/>
      <c r="M29" s="16" t="s">
        <v>51</v>
      </c>
      <c r="N29" s="31"/>
      <c r="O29" s="31"/>
      <c r="P29" s="31"/>
      <c r="Q29" s="67"/>
      <c r="R29" s="67"/>
      <c r="S29" s="67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7" t="b">
        <v>0</v>
      </c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</row>
    <row r="30" spans="1:47" ht="16.5" customHeight="1">
      <c r="A30" s="18"/>
      <c r="B30" s="72"/>
      <c r="C30" s="73"/>
      <c r="D30" s="70">
        <f>1/D29</f>
        <v>0.8</v>
      </c>
      <c r="E30" s="71" t="s">
        <v>11</v>
      </c>
      <c r="F30" s="19"/>
      <c r="G30" s="19"/>
      <c r="H30" s="48"/>
      <c r="I30" s="49" t="s">
        <v>62</v>
      </c>
      <c r="J30" s="50">
        <v>50</v>
      </c>
      <c r="K30" s="22"/>
      <c r="L30" s="31"/>
      <c r="M30" s="31"/>
      <c r="N30" s="67"/>
      <c r="O30" s="67"/>
      <c r="P30" s="67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7" t="b">
        <v>1</v>
      </c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</row>
    <row r="31" spans="1:47" ht="16.5" customHeight="1">
      <c r="A31" s="18"/>
      <c r="B31" s="72"/>
      <c r="C31" s="74"/>
      <c r="D31" s="52"/>
      <c r="E31" s="69"/>
      <c r="F31" s="19"/>
      <c r="G31" s="19"/>
      <c r="H31" s="48"/>
      <c r="I31" s="49" t="s">
        <v>63</v>
      </c>
      <c r="J31" s="50">
        <v>75</v>
      </c>
      <c r="K31" s="19"/>
      <c r="L31" s="31"/>
      <c r="M31" s="16"/>
      <c r="N31" s="16"/>
      <c r="O31" s="16"/>
      <c r="P31" s="16"/>
      <c r="Q31" s="16"/>
      <c r="R31" s="16"/>
      <c r="S31" s="16"/>
      <c r="T31" s="16"/>
      <c r="U31" s="75"/>
      <c r="V31" s="16"/>
      <c r="W31" s="16"/>
      <c r="X31" s="16"/>
      <c r="Y31" s="16"/>
      <c r="Z31" s="16"/>
      <c r="AA31" s="16"/>
      <c r="AB31" s="16"/>
      <c r="AC31" s="16"/>
      <c r="AD31" s="17" t="b">
        <v>0</v>
      </c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</row>
    <row r="32" spans="1:47" ht="16.5" customHeight="1">
      <c r="A32" s="18"/>
      <c r="B32" s="167" t="s">
        <v>54</v>
      </c>
      <c r="C32" s="168"/>
      <c r="D32" s="52">
        <f>IF(AD24=TRUE,J29,IF(AD25=TRUE,J30,IF(AD26=TRUE,J31)))</f>
        <v>50</v>
      </c>
      <c r="E32" s="47" t="s">
        <v>14</v>
      </c>
      <c r="F32" s="19"/>
      <c r="G32" s="19"/>
      <c r="H32" s="24"/>
      <c r="I32" s="19"/>
      <c r="J32" s="19"/>
      <c r="K32" s="22"/>
      <c r="L32" s="31"/>
      <c r="M32" s="175" t="s">
        <v>83</v>
      </c>
      <c r="N32" s="175"/>
      <c r="O32" s="175"/>
      <c r="P32" s="16"/>
      <c r="Q32" s="16"/>
      <c r="R32" s="16"/>
      <c r="S32" s="16"/>
      <c r="T32" s="76"/>
      <c r="U32" s="77"/>
      <c r="V32" s="16"/>
      <c r="W32" s="16"/>
      <c r="X32" s="16"/>
      <c r="Y32" s="16"/>
      <c r="Z32" s="16"/>
      <c r="AA32" s="16"/>
      <c r="AB32" s="16"/>
      <c r="AC32" s="67"/>
      <c r="AD32" s="17" t="b">
        <v>1</v>
      </c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</row>
    <row r="33" spans="1:47" ht="16.5" customHeight="1">
      <c r="A33" s="18"/>
      <c r="B33" s="167" t="s">
        <v>15</v>
      </c>
      <c r="C33" s="168"/>
      <c r="D33" s="60">
        <f>D25*100/D32</f>
        <v>129.71377777777778</v>
      </c>
      <c r="E33" s="47" t="s">
        <v>13</v>
      </c>
      <c r="F33" s="19"/>
      <c r="G33" s="19"/>
      <c r="H33" s="24"/>
      <c r="I33" s="188" t="s">
        <v>16</v>
      </c>
      <c r="J33" s="189"/>
      <c r="K33" s="22"/>
      <c r="L33" s="31"/>
      <c r="M33" s="176" t="s">
        <v>76</v>
      </c>
      <c r="N33" s="31">
        <f>D36</f>
        <v>90</v>
      </c>
      <c r="O33" s="16" t="s">
        <v>13</v>
      </c>
      <c r="P33" s="16"/>
      <c r="Q33" s="16"/>
      <c r="R33" s="16"/>
      <c r="S33" s="16"/>
      <c r="T33" s="75"/>
      <c r="U33" s="31"/>
      <c r="V33" s="76"/>
      <c r="W33" s="16"/>
      <c r="X33" s="16"/>
      <c r="Y33" s="16"/>
      <c r="Z33" s="16"/>
      <c r="AA33" s="16"/>
      <c r="AB33" s="16"/>
      <c r="AC33" s="67"/>
      <c r="AD33" s="17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</row>
    <row r="34" spans="1:47" ht="16.5" customHeight="1">
      <c r="A34" s="18"/>
      <c r="B34" s="61"/>
      <c r="C34" s="51"/>
      <c r="D34" s="52"/>
      <c r="E34" s="69"/>
      <c r="F34" s="19"/>
      <c r="G34" s="19"/>
      <c r="H34" s="48"/>
      <c r="I34" s="78" t="s">
        <v>137</v>
      </c>
      <c r="J34" s="79">
        <v>50</v>
      </c>
      <c r="K34" s="22"/>
      <c r="L34" s="16"/>
      <c r="M34" s="176"/>
      <c r="N34" s="75">
        <f>N33/1.36</f>
        <v>66.17647058823529</v>
      </c>
      <c r="O34" s="16" t="s">
        <v>39</v>
      </c>
      <c r="P34" s="76"/>
      <c r="Q34" s="184" t="s">
        <v>84</v>
      </c>
      <c r="R34" s="184"/>
      <c r="S34" s="16"/>
      <c r="T34" s="77"/>
      <c r="U34" s="77"/>
      <c r="V34" s="75"/>
      <c r="W34" s="16"/>
      <c r="X34" s="16"/>
      <c r="Y34" s="16"/>
      <c r="Z34" s="16"/>
      <c r="AA34" s="16"/>
      <c r="AB34" s="16"/>
      <c r="AC34" s="67"/>
      <c r="AD34" s="17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</row>
    <row r="35" spans="1:47" ht="16.5" customHeight="1">
      <c r="A35" s="18"/>
      <c r="B35" s="167" t="s">
        <v>75</v>
      </c>
      <c r="C35" s="168"/>
      <c r="D35" s="52" t="str">
        <f>IF(AD28=TRUE,"Muy pequeño",IF(AD29=TRUE,"Pequeño",IF(AD30=TRUE,"Mediano",IF(AD31=TRUE,"Grande",))))</f>
        <v>Mediano</v>
      </c>
      <c r="E35" s="47"/>
      <c r="F35" s="19"/>
      <c r="G35" s="19"/>
      <c r="H35" s="80"/>
      <c r="I35" s="49" t="s">
        <v>136</v>
      </c>
      <c r="J35" s="50">
        <v>70</v>
      </c>
      <c r="K35" s="22"/>
      <c r="L35" s="31"/>
      <c r="M35" s="190" t="s">
        <v>85</v>
      </c>
      <c r="N35" s="31">
        <f>+I63</f>
        <v>560</v>
      </c>
      <c r="O35" s="16" t="s">
        <v>42</v>
      </c>
      <c r="P35" s="16"/>
      <c r="Q35" s="184"/>
      <c r="R35" s="184"/>
      <c r="S35" s="16"/>
      <c r="T35" s="31"/>
      <c r="U35" s="77"/>
      <c r="V35" s="77"/>
      <c r="W35" s="16"/>
      <c r="X35" s="16"/>
      <c r="Y35" s="16"/>
      <c r="Z35" s="16"/>
      <c r="AA35" s="16"/>
      <c r="AB35" s="16"/>
      <c r="AC35" s="67"/>
      <c r="AD35" s="17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</row>
    <row r="36" spans="1:47" ht="16.5" customHeight="1">
      <c r="A36" s="18"/>
      <c r="B36" s="196" t="s">
        <v>76</v>
      </c>
      <c r="C36" s="197"/>
      <c r="D36" s="81">
        <f>IF(AD28=TRUE,J34,IF(AD29=TRUE,J35,IF(AD30=TRUE,J36,IF(AD31=TRUE,J37,""))))</f>
        <v>90</v>
      </c>
      <c r="E36" s="82" t="s">
        <v>13</v>
      </c>
      <c r="F36" s="19"/>
      <c r="G36" s="19"/>
      <c r="H36" s="80"/>
      <c r="I36" s="49" t="s">
        <v>135</v>
      </c>
      <c r="J36" s="50">
        <v>90</v>
      </c>
      <c r="K36" s="19"/>
      <c r="L36" s="31"/>
      <c r="M36" s="190"/>
      <c r="N36" s="83">
        <f>N34*N35</f>
        <v>37058.82352941176</v>
      </c>
      <c r="O36" s="16" t="s">
        <v>24</v>
      </c>
      <c r="P36" s="16"/>
      <c r="Q36" s="75" t="s">
        <v>22</v>
      </c>
      <c r="R36" s="77" t="s">
        <v>86</v>
      </c>
      <c r="S36" s="16"/>
      <c r="T36" s="77"/>
      <c r="U36" s="77"/>
      <c r="V36" s="31"/>
      <c r="W36" s="67"/>
      <c r="X36" s="67"/>
      <c r="Y36" s="67"/>
      <c r="Z36" s="67"/>
      <c r="AA36" s="67"/>
      <c r="AB36" s="67"/>
      <c r="AC36" s="16"/>
      <c r="AD36" s="17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</row>
    <row r="37" spans="1:47" ht="16.5" customHeight="1">
      <c r="A37" s="18"/>
      <c r="B37" s="19"/>
      <c r="C37" s="19"/>
      <c r="D37" s="84"/>
      <c r="E37" s="22"/>
      <c r="F37" s="19"/>
      <c r="G37" s="19"/>
      <c r="H37" s="80"/>
      <c r="I37" s="49" t="s">
        <v>134</v>
      </c>
      <c r="J37" s="50">
        <v>120</v>
      </c>
      <c r="K37" s="22"/>
      <c r="L37" s="31"/>
      <c r="M37" s="190" t="s">
        <v>87</v>
      </c>
      <c r="N37" s="83">
        <v>12000</v>
      </c>
      <c r="O37" s="16" t="s">
        <v>40</v>
      </c>
      <c r="P37" s="16"/>
      <c r="Q37" s="83">
        <v>500</v>
      </c>
      <c r="R37" s="75">
        <f>$N$36/$N$37+$N$36/($N$38*Q37)+($N$36*$N$39*0.6)/(Q37*100)+($N$36*(($N$41+$N$40)/(Q37*100)))+$N$34*$N$43*$N$42</f>
        <v>11.225294117647056</v>
      </c>
      <c r="S37" s="16"/>
      <c r="T37" s="77"/>
      <c r="U37" s="77"/>
      <c r="V37" s="77"/>
      <c r="W37" s="67"/>
      <c r="X37" s="67"/>
      <c r="Y37" s="67"/>
      <c r="Z37" s="67"/>
      <c r="AA37" s="67"/>
      <c r="AB37" s="67"/>
      <c r="AC37" s="16"/>
      <c r="AD37" s="17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</row>
    <row r="38" spans="1:47" ht="16.5" customHeight="1">
      <c r="A38" s="18"/>
      <c r="B38" s="194" t="s">
        <v>64</v>
      </c>
      <c r="C38" s="195"/>
      <c r="D38" s="85"/>
      <c r="E38" s="86"/>
      <c r="F38" s="19"/>
      <c r="G38" s="19"/>
      <c r="H38" s="19"/>
      <c r="I38" s="19"/>
      <c r="J38" s="13"/>
      <c r="K38" s="22"/>
      <c r="L38" s="31"/>
      <c r="M38" s="190"/>
      <c r="N38" s="31">
        <v>20</v>
      </c>
      <c r="O38" s="16" t="s">
        <v>29</v>
      </c>
      <c r="P38" s="16"/>
      <c r="Q38" s="83">
        <v>1000</v>
      </c>
      <c r="R38" s="75">
        <f>$N$36/$N$37+$N$36/($N$38*Q38)+($N$36*$N$39*0.6)/(Q38*100)+($N$36*(($N$41+$N$40)/(Q38*100)))+$N$34*$N$43*$N$42</f>
        <v>8.149411764705881</v>
      </c>
      <c r="S38" s="16"/>
      <c r="T38" s="77"/>
      <c r="U38" s="16"/>
      <c r="V38" s="77"/>
      <c r="W38" s="67"/>
      <c r="X38" s="67"/>
      <c r="Y38" s="67"/>
      <c r="Z38" s="67"/>
      <c r="AA38" s="67"/>
      <c r="AB38" s="67"/>
      <c r="AC38" s="16"/>
      <c r="AD38" s="17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</row>
    <row r="39" spans="1:47" ht="16.5" customHeight="1">
      <c r="A39" s="18"/>
      <c r="B39" s="167" t="s">
        <v>17</v>
      </c>
      <c r="C39" s="168"/>
      <c r="D39" s="87">
        <f>IF(D32=J29,J41*D36/1.36,IF(D32=J30,J42*D36/1.36,IF(D32=J31,J43*D36/1.36)))</f>
        <v>9.926470588235293</v>
      </c>
      <c r="E39" s="47" t="s">
        <v>46</v>
      </c>
      <c r="F39" s="19"/>
      <c r="G39" s="19"/>
      <c r="H39" s="19"/>
      <c r="I39" s="188" t="s">
        <v>18</v>
      </c>
      <c r="J39" s="189"/>
      <c r="K39" s="22"/>
      <c r="L39" s="16"/>
      <c r="M39" s="25" t="s">
        <v>88</v>
      </c>
      <c r="N39" s="88">
        <f>+D54</f>
        <v>5</v>
      </c>
      <c r="O39" s="16" t="s">
        <v>14</v>
      </c>
      <c r="P39" s="16"/>
      <c r="Q39" s="16"/>
      <c r="R39" s="16"/>
      <c r="S39" s="16"/>
      <c r="T39" s="77"/>
      <c r="U39" s="16"/>
      <c r="V39" s="77"/>
      <c r="W39" s="67"/>
      <c r="X39" s="67"/>
      <c r="Y39" s="67"/>
      <c r="Z39" s="67"/>
      <c r="AA39" s="67"/>
      <c r="AB39" s="67"/>
      <c r="AC39" s="16"/>
      <c r="AD39" s="17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</row>
    <row r="40" spans="1:47" ht="16.5" customHeight="1">
      <c r="A40" s="18"/>
      <c r="B40" s="61"/>
      <c r="C40" s="51"/>
      <c r="D40" s="87">
        <f>D39*D29</f>
        <v>12.408088235294116</v>
      </c>
      <c r="E40" s="47" t="s">
        <v>67</v>
      </c>
      <c r="F40" s="19"/>
      <c r="G40" s="19"/>
      <c r="H40" s="19"/>
      <c r="I40" s="49" t="s">
        <v>20</v>
      </c>
      <c r="J40" s="79" t="s">
        <v>71</v>
      </c>
      <c r="K40" s="22"/>
      <c r="L40" s="16"/>
      <c r="M40" s="25" t="s">
        <v>43</v>
      </c>
      <c r="N40" s="88">
        <v>0.2</v>
      </c>
      <c r="O40" s="16" t="s">
        <v>14</v>
      </c>
      <c r="P40" s="16"/>
      <c r="Q40" s="16"/>
      <c r="R40" s="16"/>
      <c r="S40" s="16"/>
      <c r="T40" s="16"/>
      <c r="U40" s="16"/>
      <c r="V40" s="77"/>
      <c r="W40" s="16"/>
      <c r="X40" s="16"/>
      <c r="Y40" s="16"/>
      <c r="Z40" s="16"/>
      <c r="AA40" s="16"/>
      <c r="AB40" s="16"/>
      <c r="AC40" s="77"/>
      <c r="AD40" s="17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</row>
    <row r="41" spans="1:47" ht="16.5" customHeight="1">
      <c r="A41" s="18"/>
      <c r="B41" s="167" t="s">
        <v>19</v>
      </c>
      <c r="C41" s="168"/>
      <c r="D41" s="89">
        <f>D39*0.1/100</f>
        <v>0.009926470588235294</v>
      </c>
      <c r="E41" s="47" t="s">
        <v>46</v>
      </c>
      <c r="F41" s="19"/>
      <c r="G41" s="19"/>
      <c r="H41" s="19"/>
      <c r="I41" s="49" t="s">
        <v>2</v>
      </c>
      <c r="J41" s="90">
        <v>0.1</v>
      </c>
      <c r="K41" s="22"/>
      <c r="L41" s="31"/>
      <c r="M41" s="25" t="s">
        <v>44</v>
      </c>
      <c r="N41" s="88">
        <v>0.1</v>
      </c>
      <c r="O41" s="16" t="s">
        <v>14</v>
      </c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7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</row>
    <row r="42" spans="1:47" ht="16.5" customHeight="1">
      <c r="A42" s="18"/>
      <c r="B42" s="72"/>
      <c r="C42" s="74"/>
      <c r="D42" s="89">
        <f>D40*0.1/100</f>
        <v>0.012408088235294117</v>
      </c>
      <c r="E42" s="47" t="s">
        <v>67</v>
      </c>
      <c r="F42" s="19"/>
      <c r="G42" s="19"/>
      <c r="H42" s="19"/>
      <c r="I42" s="49" t="s">
        <v>3</v>
      </c>
      <c r="J42" s="90">
        <v>0.15</v>
      </c>
      <c r="K42" s="19"/>
      <c r="L42" s="31"/>
      <c r="M42" s="91" t="s">
        <v>89</v>
      </c>
      <c r="N42" s="88">
        <v>0.2</v>
      </c>
      <c r="O42" s="92" t="s">
        <v>41</v>
      </c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7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</row>
    <row r="43" spans="1:47" ht="16.5" customHeight="1" thickBot="1">
      <c r="A43" s="18"/>
      <c r="B43" s="167" t="s">
        <v>66</v>
      </c>
      <c r="C43" s="168"/>
      <c r="D43" s="93">
        <v>1</v>
      </c>
      <c r="E43" s="94" t="s">
        <v>41</v>
      </c>
      <c r="F43" s="19"/>
      <c r="G43" s="19"/>
      <c r="H43" s="19"/>
      <c r="I43" s="49" t="s">
        <v>5</v>
      </c>
      <c r="J43" s="90">
        <v>0.207</v>
      </c>
      <c r="K43" s="22"/>
      <c r="L43" s="31"/>
      <c r="M43" s="91" t="s">
        <v>90</v>
      </c>
      <c r="N43" s="95">
        <v>0.15</v>
      </c>
      <c r="O43" s="92" t="s">
        <v>45</v>
      </c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7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</row>
    <row r="44" spans="1:47" ht="16.5" customHeight="1" thickTop="1">
      <c r="A44" s="18"/>
      <c r="B44" s="96" t="s">
        <v>68</v>
      </c>
      <c r="C44" s="97"/>
      <c r="D44" s="98">
        <f>D43*D39</f>
        <v>9.926470588235293</v>
      </c>
      <c r="E44" s="71" t="s">
        <v>27</v>
      </c>
      <c r="F44" s="19"/>
      <c r="G44" s="19"/>
      <c r="H44" s="19"/>
      <c r="I44" s="19"/>
      <c r="J44" s="19"/>
      <c r="K44" s="22"/>
      <c r="L44" s="31"/>
      <c r="M44" s="91"/>
      <c r="N44" s="95"/>
      <c r="O44" s="92"/>
      <c r="P44" s="16"/>
      <c r="Q44" s="16"/>
      <c r="R44" s="16"/>
      <c r="S44" s="16"/>
      <c r="T44" s="16"/>
      <c r="U44" s="16"/>
      <c r="V44" s="16"/>
      <c r="W44" s="76"/>
      <c r="X44" s="76"/>
      <c r="Y44" s="76"/>
      <c r="Z44" s="76"/>
      <c r="AA44" s="76"/>
      <c r="AB44" s="76"/>
      <c r="AC44" s="16"/>
      <c r="AD44" s="17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</row>
    <row r="45" spans="1:47" ht="16.5" customHeight="1">
      <c r="A45" s="18"/>
      <c r="B45" s="99"/>
      <c r="C45" s="100"/>
      <c r="D45" s="101">
        <f>D40*D43</f>
        <v>12.408088235294116</v>
      </c>
      <c r="E45" s="102" t="s">
        <v>35</v>
      </c>
      <c r="F45" s="19"/>
      <c r="G45" s="19"/>
      <c r="H45" s="19"/>
      <c r="I45" s="19"/>
      <c r="J45" s="19"/>
      <c r="K45" s="103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75"/>
      <c r="X45" s="75"/>
      <c r="Y45" s="75"/>
      <c r="Z45" s="75"/>
      <c r="AA45" s="75"/>
      <c r="AB45" s="75"/>
      <c r="AC45" s="16"/>
      <c r="AD45" s="17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</row>
    <row r="46" spans="1:47" ht="16.5" customHeight="1">
      <c r="A46" s="18"/>
      <c r="B46" s="19"/>
      <c r="C46" s="19"/>
      <c r="D46" s="84"/>
      <c r="E46" s="22"/>
      <c r="F46" s="19"/>
      <c r="G46" s="19"/>
      <c r="H46" s="19"/>
      <c r="I46" s="19"/>
      <c r="J46" s="19"/>
      <c r="K46" s="103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77"/>
      <c r="X46" s="77"/>
      <c r="Y46" s="77"/>
      <c r="Z46" s="77"/>
      <c r="AA46" s="77"/>
      <c r="AB46" s="77"/>
      <c r="AC46" s="16"/>
      <c r="AD46" s="17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</row>
    <row r="47" spans="1:47" ht="16.5" customHeight="1">
      <c r="A47" s="18"/>
      <c r="B47" s="194" t="s">
        <v>65</v>
      </c>
      <c r="C47" s="195"/>
      <c r="D47" s="85"/>
      <c r="E47" s="104"/>
      <c r="F47" s="105"/>
      <c r="G47" s="106"/>
      <c r="H47" s="19"/>
      <c r="I47" s="187" t="s">
        <v>81</v>
      </c>
      <c r="J47" s="187"/>
      <c r="K47" s="103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31"/>
      <c r="X47" s="31"/>
      <c r="Y47" s="31"/>
      <c r="Z47" s="31"/>
      <c r="AA47" s="31"/>
      <c r="AB47" s="31"/>
      <c r="AC47" s="16"/>
      <c r="AD47" s="17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</row>
    <row r="48" spans="1:47" ht="16.5" customHeight="1">
      <c r="A48" s="18"/>
      <c r="B48" s="191" t="s">
        <v>21</v>
      </c>
      <c r="C48" s="192"/>
      <c r="D48" s="107">
        <f>IF(AD48=TRUE,J48,J49)</f>
        <v>200</v>
      </c>
      <c r="E48" s="108" t="s">
        <v>22</v>
      </c>
      <c r="F48" s="109"/>
      <c r="G48" s="110"/>
      <c r="H48" s="80"/>
      <c r="I48" s="49" t="s">
        <v>2</v>
      </c>
      <c r="J48" s="111">
        <v>50</v>
      </c>
      <c r="K48" s="19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77"/>
      <c r="X48" s="77"/>
      <c r="Y48" s="77"/>
      <c r="Z48" s="77"/>
      <c r="AA48" s="77"/>
      <c r="AB48" s="77"/>
      <c r="AC48" s="16"/>
      <c r="AD48" s="17" t="b">
        <v>0</v>
      </c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</row>
    <row r="49" spans="1:47" ht="16.5" customHeight="1">
      <c r="A49" s="18"/>
      <c r="B49" s="61"/>
      <c r="C49" s="51"/>
      <c r="D49" s="52"/>
      <c r="E49" s="112"/>
      <c r="F49" s="74"/>
      <c r="G49" s="113"/>
      <c r="H49" s="80"/>
      <c r="I49" s="49" t="s">
        <v>5</v>
      </c>
      <c r="J49" s="114">
        <v>200</v>
      </c>
      <c r="K49" s="22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77"/>
      <c r="X49" s="77"/>
      <c r="Y49" s="77"/>
      <c r="Z49" s="77"/>
      <c r="AA49" s="77"/>
      <c r="AB49" s="77"/>
      <c r="AC49" s="16"/>
      <c r="AD49" s="17" t="b">
        <v>1</v>
      </c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</row>
    <row r="50" spans="1:47" ht="16.5" customHeight="1">
      <c r="A50" s="18"/>
      <c r="B50" s="167" t="s">
        <v>23</v>
      </c>
      <c r="C50" s="168"/>
      <c r="D50" s="46">
        <f>+F50*D14/1000</f>
        <v>11000</v>
      </c>
      <c r="E50" s="62" t="s">
        <v>24</v>
      </c>
      <c r="F50" s="115">
        <v>5500</v>
      </c>
      <c r="G50" s="116" t="s">
        <v>138</v>
      </c>
      <c r="H50" s="19"/>
      <c r="I50" s="19"/>
      <c r="J50" s="13"/>
      <c r="K50" s="22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77"/>
      <c r="X50" s="77"/>
      <c r="Y50" s="77"/>
      <c r="Z50" s="77"/>
      <c r="AA50" s="77"/>
      <c r="AB50" s="77"/>
      <c r="AC50" s="16"/>
      <c r="AD50" s="17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</row>
    <row r="51" spans="1:47" ht="16.5" customHeight="1">
      <c r="A51" s="18"/>
      <c r="B51" s="72"/>
      <c r="C51" s="74"/>
      <c r="D51" s="46"/>
      <c r="E51" s="112"/>
      <c r="F51" s="74"/>
      <c r="G51" s="113"/>
      <c r="H51" s="19"/>
      <c r="I51" s="19"/>
      <c r="J51" s="19"/>
      <c r="K51" s="117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77"/>
      <c r="X51" s="77"/>
      <c r="Y51" s="77"/>
      <c r="Z51" s="77"/>
      <c r="AA51" s="77"/>
      <c r="AB51" s="77"/>
      <c r="AC51" s="16"/>
      <c r="AD51" s="17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</row>
    <row r="52" spans="1:47" ht="16.5" customHeight="1">
      <c r="A52" s="18"/>
      <c r="B52" s="167" t="s">
        <v>25</v>
      </c>
      <c r="C52" s="168"/>
      <c r="D52" s="118">
        <v>1000</v>
      </c>
      <c r="E52" s="62" t="s">
        <v>26</v>
      </c>
      <c r="F52" s="55">
        <f>+$D$50/$D52</f>
        <v>11</v>
      </c>
      <c r="G52" s="116" t="s">
        <v>27</v>
      </c>
      <c r="H52" s="19"/>
      <c r="I52" s="19"/>
      <c r="J52" s="19"/>
      <c r="K52" s="19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7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</row>
    <row r="53" spans="1:47" ht="16.5" customHeight="1">
      <c r="A53" s="18"/>
      <c r="B53" s="167" t="s">
        <v>28</v>
      </c>
      <c r="C53" s="168"/>
      <c r="D53" s="119">
        <v>20</v>
      </c>
      <c r="E53" s="62" t="s">
        <v>29</v>
      </c>
      <c r="F53" s="87">
        <f>+$D$50/($D53*D48)</f>
        <v>2.75</v>
      </c>
      <c r="G53" s="116" t="s">
        <v>27</v>
      </c>
      <c r="H53" s="19"/>
      <c r="I53" s="19"/>
      <c r="J53" s="19"/>
      <c r="K53" s="19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7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</row>
    <row r="54" spans="1:47" ht="16.5" customHeight="1">
      <c r="A54" s="18"/>
      <c r="B54" s="167" t="s">
        <v>30</v>
      </c>
      <c r="C54" s="168"/>
      <c r="D54" s="119">
        <v>5</v>
      </c>
      <c r="E54" s="62" t="s">
        <v>14</v>
      </c>
      <c r="F54" s="87">
        <f>+$D$50*0.006*$D54/D48</f>
        <v>1.65</v>
      </c>
      <c r="G54" s="116" t="s">
        <v>27</v>
      </c>
      <c r="H54" s="19"/>
      <c r="I54" s="185" t="str">
        <f>CONCATENATE("Vida útil para ",D48," h/año")</f>
        <v>Vida útil para 200 h/año</v>
      </c>
      <c r="J54" s="186"/>
      <c r="K54" s="20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7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</row>
    <row r="55" spans="1:47" ht="16.5" customHeight="1">
      <c r="A55" s="18"/>
      <c r="B55" s="167" t="s">
        <v>31</v>
      </c>
      <c r="C55" s="168"/>
      <c r="D55" s="119">
        <v>0.2</v>
      </c>
      <c r="E55" s="62" t="s">
        <v>32</v>
      </c>
      <c r="F55" s="87">
        <f>+$D$50*$D55/(100*D48)</f>
        <v>0.11</v>
      </c>
      <c r="G55" s="116" t="s">
        <v>27</v>
      </c>
      <c r="H55" s="19"/>
      <c r="I55" s="120" t="s">
        <v>26</v>
      </c>
      <c r="J55" s="121">
        <f>+$D$50/($F$52+$F$53)</f>
        <v>800</v>
      </c>
      <c r="K55" s="122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7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</row>
    <row r="56" spans="1:47" ht="16.5" customHeight="1">
      <c r="A56" s="18"/>
      <c r="B56" s="167" t="s">
        <v>33</v>
      </c>
      <c r="C56" s="168"/>
      <c r="D56" s="119">
        <v>0.1</v>
      </c>
      <c r="E56" s="62" t="s">
        <v>32</v>
      </c>
      <c r="F56" s="87">
        <f>+$D$50*$D56/(D48*100)</f>
        <v>0.055</v>
      </c>
      <c r="G56" s="116" t="s">
        <v>27</v>
      </c>
      <c r="H56" s="19"/>
      <c r="I56" s="120" t="s">
        <v>29</v>
      </c>
      <c r="J56" s="123">
        <f>+$D$50/($D$48*($F$52+$F$53))</f>
        <v>4</v>
      </c>
      <c r="K56" s="124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7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</row>
    <row r="57" spans="1:47" ht="16.5" customHeight="1" thickBot="1">
      <c r="A57" s="18"/>
      <c r="B57" s="173" t="s">
        <v>34</v>
      </c>
      <c r="C57" s="174"/>
      <c r="D57" s="125">
        <v>0.9</v>
      </c>
      <c r="E57" s="126" t="s">
        <v>35</v>
      </c>
      <c r="F57" s="127">
        <f>+D57/D29</f>
        <v>0.72</v>
      </c>
      <c r="G57" s="128" t="s">
        <v>27</v>
      </c>
      <c r="H57" s="19"/>
      <c r="I57" s="19"/>
      <c r="J57" s="13"/>
      <c r="K57" s="19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7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</row>
    <row r="58" spans="1:47" ht="16.5" customHeight="1" thickTop="1">
      <c r="A58" s="18"/>
      <c r="B58" s="129" t="s">
        <v>36</v>
      </c>
      <c r="C58" s="10"/>
      <c r="D58" s="112"/>
      <c r="E58" s="112"/>
      <c r="F58" s="87">
        <f>SUM(F52:F57)</f>
        <v>16.285</v>
      </c>
      <c r="G58" s="116" t="s">
        <v>27</v>
      </c>
      <c r="H58" s="19"/>
      <c r="I58" s="19"/>
      <c r="J58" s="19"/>
      <c r="K58" s="19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7"/>
      <c r="AE58" s="16"/>
      <c r="AF58" s="16"/>
      <c r="AG58" s="16"/>
      <c r="AH58" s="16"/>
      <c r="AI58" s="16"/>
      <c r="AJ58" s="16"/>
      <c r="AK58" s="16"/>
      <c r="AL58" s="16"/>
      <c r="AM58" s="16"/>
      <c r="AN58" s="16"/>
      <c r="AO58" s="16"/>
      <c r="AP58" s="16"/>
      <c r="AQ58" s="16"/>
      <c r="AR58" s="16"/>
      <c r="AS58" s="16"/>
      <c r="AT58" s="16"/>
      <c r="AU58" s="16"/>
    </row>
    <row r="59" spans="1:47" ht="16.5" customHeight="1">
      <c r="A59" s="18"/>
      <c r="B59" s="130"/>
      <c r="C59" s="131"/>
      <c r="D59" s="132"/>
      <c r="E59" s="132"/>
      <c r="F59" s="133">
        <f>+F58*D29</f>
        <v>20.35625</v>
      </c>
      <c r="G59" s="134" t="s">
        <v>35</v>
      </c>
      <c r="H59" s="19"/>
      <c r="I59" s="19"/>
      <c r="J59" s="19"/>
      <c r="K59" s="19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7"/>
      <c r="AE59" s="16"/>
      <c r="AF59" s="16"/>
      <c r="AG59" s="16"/>
      <c r="AH59" s="16"/>
      <c r="AI59" s="16"/>
      <c r="AJ59" s="16"/>
      <c r="AK59" s="16"/>
      <c r="AL59" s="16"/>
      <c r="AM59" s="16"/>
      <c r="AN59" s="16"/>
      <c r="AO59" s="16"/>
      <c r="AP59" s="16"/>
      <c r="AQ59" s="16"/>
      <c r="AR59" s="16"/>
      <c r="AS59" s="16"/>
      <c r="AT59" s="16"/>
      <c r="AU59" s="16"/>
    </row>
    <row r="60" spans="1:47" ht="16.5" customHeight="1">
      <c r="A60" s="18"/>
      <c r="B60" s="19"/>
      <c r="C60" s="19"/>
      <c r="D60" s="22"/>
      <c r="E60" s="22"/>
      <c r="F60" s="19"/>
      <c r="G60" s="24"/>
      <c r="H60" s="19"/>
      <c r="I60" s="19"/>
      <c r="J60" s="19"/>
      <c r="K60" s="19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7"/>
      <c r="AE60" s="16"/>
      <c r="AF60" s="16"/>
      <c r="AG60" s="16"/>
      <c r="AH60" s="16"/>
      <c r="AI60" s="16"/>
      <c r="AJ60" s="16"/>
      <c r="AK60" s="16"/>
      <c r="AL60" s="16"/>
      <c r="AM60" s="16"/>
      <c r="AN60" s="16"/>
      <c r="AO60" s="16"/>
      <c r="AP60" s="16"/>
      <c r="AQ60" s="16"/>
      <c r="AR60" s="16"/>
      <c r="AS60" s="16"/>
      <c r="AT60" s="16"/>
      <c r="AU60" s="16"/>
    </row>
    <row r="61" spans="1:47" ht="16.5" customHeight="1">
      <c r="A61" s="18"/>
      <c r="B61" s="180" t="s">
        <v>38</v>
      </c>
      <c r="C61" s="180"/>
      <c r="D61" s="180"/>
      <c r="E61" s="181" t="s">
        <v>92</v>
      </c>
      <c r="F61" s="181"/>
      <c r="G61" s="135"/>
      <c r="H61" s="54"/>
      <c r="I61" s="54"/>
      <c r="J61" s="54"/>
      <c r="K61" s="19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7"/>
      <c r="AE61" s="16"/>
      <c r="AF61" s="16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16"/>
      <c r="AR61" s="16"/>
      <c r="AS61" s="16"/>
      <c r="AT61" s="16"/>
      <c r="AU61" s="16"/>
    </row>
    <row r="62" spans="1:47" ht="16.5" customHeight="1">
      <c r="A62" s="18"/>
      <c r="B62" s="169" t="s">
        <v>77</v>
      </c>
      <c r="C62" s="170"/>
      <c r="D62" s="136" t="s">
        <v>78</v>
      </c>
      <c r="E62" s="137" t="s">
        <v>27</v>
      </c>
      <c r="F62" s="137" t="s">
        <v>35</v>
      </c>
      <c r="G62" s="135"/>
      <c r="H62" s="54"/>
      <c r="I62" s="200" t="s">
        <v>95</v>
      </c>
      <c r="J62" s="200"/>
      <c r="K62" s="19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7"/>
      <c r="AE62" s="16"/>
      <c r="AF62" s="16"/>
      <c r="AG62" s="16"/>
      <c r="AH62" s="16"/>
      <c r="AI62" s="16"/>
      <c r="AJ62" s="16"/>
      <c r="AK62" s="16"/>
      <c r="AL62" s="16"/>
      <c r="AM62" s="16"/>
      <c r="AN62" s="16"/>
      <c r="AO62" s="16"/>
      <c r="AP62" s="16"/>
      <c r="AQ62" s="16"/>
      <c r="AR62" s="16"/>
      <c r="AS62" s="16"/>
      <c r="AT62" s="16"/>
      <c r="AU62" s="16"/>
    </row>
    <row r="63" spans="1:47" ht="16.5" customHeight="1">
      <c r="A63" s="18"/>
      <c r="B63" s="49"/>
      <c r="C63" s="49" t="s">
        <v>79</v>
      </c>
      <c r="D63" s="138">
        <f>R37</f>
        <v>11.225294117647056</v>
      </c>
      <c r="E63" s="139">
        <f>IF(AD69=TRUE,D63+D44,D63*0)</f>
        <v>0</v>
      </c>
      <c r="F63" s="139">
        <f>E63*$D$29</f>
        <v>0</v>
      </c>
      <c r="G63" s="140">
        <f>IF(AD69=TRUE,F63,F63*0)</f>
        <v>0</v>
      </c>
      <c r="H63" s="54"/>
      <c r="I63" s="141">
        <v>560</v>
      </c>
      <c r="J63" s="78" t="s">
        <v>96</v>
      </c>
      <c r="K63" s="19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7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  <c r="AR63" s="16"/>
      <c r="AS63" s="16"/>
      <c r="AT63" s="16"/>
      <c r="AU63" s="16"/>
    </row>
    <row r="64" spans="1:47" ht="16.5" customHeight="1">
      <c r="A64" s="18"/>
      <c r="B64" s="49"/>
      <c r="C64" s="49" t="s">
        <v>80</v>
      </c>
      <c r="D64" s="138">
        <f>R38</f>
        <v>8.149411764705881</v>
      </c>
      <c r="E64" s="139">
        <f>IF(AD70=TRUE,D64+D44,D64*0)</f>
        <v>18.075882352941175</v>
      </c>
      <c r="F64" s="139">
        <f>E64*$D$29</f>
        <v>22.59485294117647</v>
      </c>
      <c r="G64" s="140">
        <f>IF(AD70=TRUE,F64,F64*0)</f>
        <v>22.59485294117647</v>
      </c>
      <c r="H64" s="54"/>
      <c r="I64" s="54"/>
      <c r="J64" s="54"/>
      <c r="K64" s="19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7"/>
      <c r="AE64" s="16"/>
      <c r="AF64" s="16"/>
      <c r="AG64" s="16"/>
      <c r="AH64" s="16"/>
      <c r="AI64" s="16"/>
      <c r="AJ64" s="16"/>
      <c r="AK64" s="16"/>
      <c r="AL64" s="16"/>
      <c r="AM64" s="16"/>
      <c r="AN64" s="16"/>
      <c r="AO64" s="16"/>
      <c r="AP64" s="16"/>
      <c r="AQ64" s="16"/>
      <c r="AR64" s="16"/>
      <c r="AS64" s="16"/>
      <c r="AT64" s="16"/>
      <c r="AU64" s="16"/>
    </row>
    <row r="65" spans="1:47" ht="16.5" customHeight="1">
      <c r="A65" s="18"/>
      <c r="B65" s="19"/>
      <c r="C65" s="142"/>
      <c r="D65" s="22"/>
      <c r="E65" s="20"/>
      <c r="F65" s="143"/>
      <c r="G65" s="135"/>
      <c r="H65" s="54"/>
      <c r="I65" s="54"/>
      <c r="J65" s="54"/>
      <c r="K65" s="19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7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16"/>
    </row>
    <row r="66" spans="1:47" ht="16.5" customHeight="1">
      <c r="A66" s="18"/>
      <c r="B66" s="182" t="s">
        <v>91</v>
      </c>
      <c r="C66" s="182"/>
      <c r="D66" s="182"/>
      <c r="E66" s="183" t="s">
        <v>36</v>
      </c>
      <c r="F66" s="183"/>
      <c r="G66" s="135"/>
      <c r="H66" s="54"/>
      <c r="I66" s="54"/>
      <c r="J66" s="54"/>
      <c r="K66" s="19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7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6"/>
      <c r="AR66" s="16"/>
      <c r="AS66" s="16"/>
      <c r="AT66" s="16"/>
      <c r="AU66" s="16"/>
    </row>
    <row r="67" spans="1:47" ht="16.5" customHeight="1">
      <c r="A67" s="18"/>
      <c r="B67" s="169" t="s">
        <v>77</v>
      </c>
      <c r="C67" s="170"/>
      <c r="D67" s="144" t="s">
        <v>37</v>
      </c>
      <c r="E67" s="171" t="s">
        <v>35</v>
      </c>
      <c r="F67" s="172"/>
      <c r="G67" s="145"/>
      <c r="H67" s="54"/>
      <c r="I67" s="54"/>
      <c r="J67" s="54"/>
      <c r="K67" s="19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7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6"/>
      <c r="AR67" s="16"/>
      <c r="AS67" s="16"/>
      <c r="AT67" s="16"/>
      <c r="AU67" s="16"/>
    </row>
    <row r="68" spans="1:47" ht="16.5" customHeight="1">
      <c r="A68" s="146"/>
      <c r="B68" s="49"/>
      <c r="C68" s="147" t="str">
        <f>IF(D48=J48,"Baja","Alta")</f>
        <v>Alta</v>
      </c>
      <c r="D68" s="148">
        <f>D48*D30</f>
        <v>160</v>
      </c>
      <c r="E68" s="179">
        <f>+F59+$G$63+$G$64</f>
        <v>42.95110294117647</v>
      </c>
      <c r="F68" s="179" t="e">
        <f>$D$25*($D$46/$D$48)+$D$46/($D$49*D68*$D$25)+(($D$46*0.006*$D$50)/(D68*$D$25))+$D$46*($D$51+$D$52)/(100*D68*$D$25)+($D$53/$D$25)+$D$71</f>
        <v>#DIV/0!</v>
      </c>
      <c r="G68" s="145"/>
      <c r="H68" s="54"/>
      <c r="I68" s="54"/>
      <c r="J68" s="54"/>
      <c r="K68" s="19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7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6"/>
      <c r="AR68" s="16"/>
      <c r="AS68" s="16"/>
      <c r="AT68" s="16"/>
      <c r="AU68" s="16"/>
    </row>
    <row r="69" spans="1:47" ht="16.5" customHeight="1">
      <c r="A69" s="18"/>
      <c r="B69" s="19"/>
      <c r="C69" s="149"/>
      <c r="D69" s="22"/>
      <c r="E69" s="22"/>
      <c r="F69" s="150"/>
      <c r="G69" s="151"/>
      <c r="H69" s="19"/>
      <c r="I69" s="19"/>
      <c r="J69" s="19"/>
      <c r="K69" s="29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7" t="b">
        <v>0</v>
      </c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6"/>
      <c r="AR69" s="16"/>
      <c r="AS69" s="16"/>
      <c r="AT69" s="16"/>
      <c r="AU69" s="16"/>
    </row>
    <row r="70" spans="1:47" ht="16.5" customHeight="1">
      <c r="A70" s="152"/>
      <c r="B70" s="36"/>
      <c r="C70" s="36"/>
      <c r="D70" s="153"/>
      <c r="E70" s="153"/>
      <c r="F70" s="154"/>
      <c r="G70" s="155"/>
      <c r="H70" s="36"/>
      <c r="I70" s="36"/>
      <c r="J70" s="36"/>
      <c r="K70" s="15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7" t="b">
        <v>1</v>
      </c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6"/>
      <c r="AR70" s="16"/>
      <c r="AS70" s="16"/>
      <c r="AT70" s="16"/>
      <c r="AU70" s="16"/>
    </row>
    <row r="71" spans="1:47" ht="16.5" customHeight="1">
      <c r="A71" s="157"/>
      <c r="B71" s="157"/>
      <c r="C71" s="157"/>
      <c r="D71" s="158"/>
      <c r="E71" s="158"/>
      <c r="F71" s="157"/>
      <c r="G71" s="159"/>
      <c r="H71" s="157"/>
      <c r="I71" s="157"/>
      <c r="J71" s="157"/>
      <c r="K71" s="160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7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6"/>
      <c r="AR71" s="16"/>
      <c r="AS71" s="16"/>
      <c r="AT71" s="16"/>
      <c r="AU71" s="16"/>
    </row>
    <row r="72" spans="4:47" ht="16.5" customHeight="1">
      <c r="D72" s="161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7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6"/>
      <c r="AR72" s="16"/>
      <c r="AS72" s="16"/>
      <c r="AT72" s="16"/>
      <c r="AU72" s="16"/>
    </row>
    <row r="73" spans="3:47" ht="16.5" customHeight="1">
      <c r="C73" s="162"/>
      <c r="D73" s="161"/>
      <c r="E73" s="163"/>
      <c r="F73" s="164"/>
      <c r="G73" s="165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7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6"/>
      <c r="AR73" s="16"/>
      <c r="AS73" s="16"/>
      <c r="AT73" s="16"/>
      <c r="AU73" s="16"/>
    </row>
    <row r="74" spans="4:47" ht="16.5" customHeight="1">
      <c r="D74" s="161"/>
      <c r="E74" s="163"/>
      <c r="F74" s="164"/>
      <c r="G74" s="165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7" t="b">
        <v>1</v>
      </c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6"/>
      <c r="AR74" s="16"/>
      <c r="AS74" s="16"/>
      <c r="AT74" s="16"/>
      <c r="AU74" s="16"/>
    </row>
    <row r="75" spans="12:47" ht="16.5" customHeight="1"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7" t="b">
        <v>0</v>
      </c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6"/>
      <c r="AR75" s="16"/>
      <c r="AS75" s="16"/>
      <c r="AT75" s="16"/>
      <c r="AU75" s="16"/>
    </row>
    <row r="76" spans="12:47" ht="16.5" customHeight="1"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7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6"/>
      <c r="AR76" s="16"/>
      <c r="AS76" s="16"/>
      <c r="AT76" s="16"/>
      <c r="AU76" s="16"/>
    </row>
    <row r="77" spans="12:47" ht="16.5" customHeight="1"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7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6"/>
      <c r="AR77" s="16"/>
      <c r="AS77" s="16"/>
      <c r="AT77" s="16"/>
      <c r="AU77" s="16"/>
    </row>
    <row r="78" spans="12:47" ht="16.5" customHeight="1"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7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6"/>
      <c r="AR78" s="16"/>
      <c r="AS78" s="16"/>
      <c r="AT78" s="16"/>
      <c r="AU78" s="16"/>
    </row>
    <row r="79" spans="12:47" ht="16.5" customHeight="1"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7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6"/>
      <c r="AR79" s="16"/>
      <c r="AS79" s="16"/>
      <c r="AT79" s="16"/>
      <c r="AU79" s="16"/>
    </row>
    <row r="80" spans="12:47" ht="16.5" customHeight="1"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7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6"/>
      <c r="AR80" s="16"/>
      <c r="AS80" s="16"/>
      <c r="AT80" s="16"/>
      <c r="AU80" s="16"/>
    </row>
    <row r="81" spans="12:47" ht="16.5" customHeight="1"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7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Q81" s="16"/>
      <c r="AR81" s="16"/>
      <c r="AS81" s="16"/>
      <c r="AT81" s="16"/>
      <c r="AU81" s="16"/>
    </row>
    <row r="82" spans="12:47" ht="16.5" customHeight="1"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7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  <c r="AQ82" s="16"/>
      <c r="AR82" s="16"/>
      <c r="AS82" s="16"/>
      <c r="AT82" s="16"/>
      <c r="AU82" s="16"/>
    </row>
    <row r="83" spans="12:47" ht="16.5" customHeight="1"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7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  <c r="AQ83" s="16"/>
      <c r="AR83" s="16"/>
      <c r="AS83" s="16"/>
      <c r="AT83" s="16"/>
      <c r="AU83" s="16"/>
    </row>
    <row r="84" spans="12:47" ht="16.5" customHeight="1"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7"/>
      <c r="AE84" s="16"/>
      <c r="AF84" s="16"/>
      <c r="AG84" s="16"/>
      <c r="AH84" s="16"/>
      <c r="AI84" s="16"/>
      <c r="AJ84" s="16"/>
      <c r="AK84" s="16"/>
      <c r="AL84" s="16"/>
      <c r="AM84" s="16"/>
      <c r="AN84" s="16"/>
      <c r="AO84" s="16"/>
      <c r="AP84" s="16"/>
      <c r="AQ84" s="16"/>
      <c r="AR84" s="16"/>
      <c r="AS84" s="16"/>
      <c r="AT84" s="16"/>
      <c r="AU84" s="16"/>
    </row>
    <row r="85" spans="12:47" ht="16.5" customHeight="1"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7"/>
      <c r="AE85" s="16"/>
      <c r="AF85" s="16"/>
      <c r="AG85" s="16"/>
      <c r="AH85" s="16"/>
      <c r="AI85" s="16"/>
      <c r="AJ85" s="16"/>
      <c r="AK85" s="16"/>
      <c r="AL85" s="16"/>
      <c r="AM85" s="16"/>
      <c r="AN85" s="16"/>
      <c r="AO85" s="16"/>
      <c r="AP85" s="16"/>
      <c r="AQ85" s="16"/>
      <c r="AR85" s="16"/>
      <c r="AS85" s="16"/>
      <c r="AT85" s="16"/>
      <c r="AU85" s="16"/>
    </row>
    <row r="86" spans="12:47" ht="16.5" customHeight="1"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7"/>
      <c r="AE86" s="16"/>
      <c r="AF86" s="16"/>
      <c r="AG86" s="16"/>
      <c r="AH86" s="16"/>
      <c r="AI86" s="16"/>
      <c r="AJ86" s="16"/>
      <c r="AK86" s="16"/>
      <c r="AL86" s="16"/>
      <c r="AM86" s="16"/>
      <c r="AN86" s="16"/>
      <c r="AO86" s="16"/>
      <c r="AP86" s="16"/>
      <c r="AQ86" s="16"/>
      <c r="AR86" s="16"/>
      <c r="AS86" s="16"/>
      <c r="AT86" s="16"/>
      <c r="AU86" s="16"/>
    </row>
    <row r="87" spans="12:47" ht="16.5" customHeight="1"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7"/>
      <c r="AE87" s="16"/>
      <c r="AF87" s="16"/>
      <c r="AG87" s="16"/>
      <c r="AH87" s="16"/>
      <c r="AI87" s="16"/>
      <c r="AJ87" s="16"/>
      <c r="AK87" s="16"/>
      <c r="AL87" s="16"/>
      <c r="AM87" s="16"/>
      <c r="AN87" s="16"/>
      <c r="AO87" s="16"/>
      <c r="AP87" s="16"/>
      <c r="AQ87" s="16"/>
      <c r="AR87" s="16"/>
      <c r="AS87" s="16"/>
      <c r="AT87" s="16"/>
      <c r="AU87" s="16"/>
    </row>
    <row r="88" spans="12:47" ht="16.5" customHeight="1"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7"/>
      <c r="AE88" s="16"/>
      <c r="AF88" s="16"/>
      <c r="AG88" s="16"/>
      <c r="AH88" s="16"/>
      <c r="AI88" s="16"/>
      <c r="AJ88" s="16"/>
      <c r="AK88" s="16"/>
      <c r="AL88" s="16"/>
      <c r="AM88" s="16"/>
      <c r="AN88" s="16"/>
      <c r="AO88" s="16"/>
      <c r="AP88" s="16"/>
      <c r="AQ88" s="16"/>
      <c r="AR88" s="16"/>
      <c r="AS88" s="16"/>
      <c r="AT88" s="16"/>
      <c r="AU88" s="16"/>
    </row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16.5" customHeight="1"/>
    <row r="111" ht="16.5" customHeight="1"/>
    <row r="112" ht="16.5" customHeight="1"/>
    <row r="113" ht="16.5" customHeight="1"/>
    <row r="114" ht="16.5" customHeight="1"/>
    <row r="115" ht="16.5" customHeight="1"/>
    <row r="116" ht="16.5" customHeight="1"/>
    <row r="117" ht="16.5" customHeight="1"/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  <row r="131" ht="16.5" customHeight="1"/>
    <row r="132" ht="16.5" customHeight="1"/>
    <row r="133" ht="16.5" customHeight="1"/>
    <row r="134" ht="16.5" customHeight="1"/>
    <row r="135" ht="16.5" customHeight="1"/>
    <row r="136" ht="16.5" customHeight="1"/>
    <row r="137" ht="16.5" customHeight="1"/>
    <row r="138" ht="16.5" customHeight="1"/>
    <row r="139" ht="16.5" customHeight="1"/>
    <row r="140" ht="16.5" customHeight="1"/>
    <row r="141" ht="16.5" customHeight="1"/>
    <row r="142" ht="16.5" customHeight="1"/>
    <row r="143" ht="16.5" customHeight="1"/>
    <row r="144" ht="16.5" customHeight="1"/>
    <row r="145" ht="16.5" customHeight="1"/>
    <row r="146" ht="16.5" customHeight="1"/>
    <row r="147" ht="16.5" customHeight="1"/>
    <row r="148" ht="16.5" customHeight="1"/>
    <row r="149" ht="16.5" customHeight="1"/>
    <row r="150" ht="16.5" customHeight="1"/>
    <row r="151" ht="16.5" customHeight="1"/>
    <row r="152" ht="16.5" customHeight="1"/>
    <row r="153" ht="16.5" customHeight="1"/>
    <row r="154" ht="16.5" customHeight="1"/>
    <row r="155" ht="16.5" customHeight="1"/>
    <row r="156" ht="16.5" customHeight="1"/>
    <row r="157" ht="16.5" customHeight="1"/>
    <row r="158" ht="16.5" customHeight="1"/>
    <row r="159" ht="16.5" customHeight="1"/>
    <row r="160" ht="16.5" customHeight="1"/>
    <row r="161" ht="16.5" customHeight="1"/>
    <row r="162" ht="16.5" customHeight="1"/>
    <row r="163" ht="16.5" customHeight="1"/>
    <row r="164" ht="16.5" customHeight="1"/>
    <row r="165" ht="16.5" customHeight="1"/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  <row r="173" ht="16.5" customHeight="1"/>
    <row r="174" ht="16.5" customHeight="1"/>
    <row r="175" ht="16.5" customHeight="1"/>
    <row r="176" ht="16.5" customHeight="1"/>
    <row r="177" ht="16.5" customHeight="1"/>
    <row r="178" ht="16.5" customHeight="1"/>
    <row r="179" ht="16.5" customHeight="1"/>
    <row r="180" ht="16.5" customHeight="1"/>
    <row r="181" ht="16.5" customHeight="1"/>
    <row r="182" ht="16.5" customHeight="1"/>
    <row r="183" ht="16.5" customHeight="1"/>
    <row r="184" ht="16.5" customHeight="1"/>
    <row r="185" ht="16.5" customHeight="1"/>
    <row r="186" ht="16.5" customHeight="1"/>
    <row r="187" ht="16.5" customHeight="1"/>
    <row r="188" ht="16.5" customHeight="1"/>
    <row r="189" ht="16.5" customHeight="1"/>
    <row r="190" ht="16.5" customHeight="1"/>
    <row r="191" ht="16.5" customHeight="1"/>
    <row r="192" ht="16.5" customHeight="1"/>
    <row r="193" ht="16.5" customHeight="1"/>
    <row r="194" ht="16.5" customHeight="1"/>
    <row r="195" ht="16.5" customHeight="1"/>
    <row r="196" ht="16.5" customHeight="1"/>
    <row r="197" ht="16.5" customHeight="1"/>
    <row r="198" ht="16.5" customHeight="1"/>
    <row r="199" ht="16.5" customHeight="1"/>
    <row r="200" ht="16.5" customHeight="1"/>
    <row r="201" ht="16.5" customHeight="1"/>
    <row r="202" ht="16.5" customHeight="1"/>
    <row r="203" ht="16.5" customHeight="1"/>
    <row r="204" ht="16.5" customHeight="1"/>
    <row r="205" ht="16.5" customHeight="1"/>
    <row r="206" ht="16.5" customHeight="1"/>
    <row r="207" ht="16.5" customHeight="1"/>
    <row r="208" ht="16.5" customHeight="1"/>
    <row r="209" ht="16.5" customHeight="1"/>
    <row r="210" ht="16.5" customHeight="1"/>
    <row r="211" ht="16.5" customHeight="1"/>
    <row r="212" ht="16.5" customHeight="1"/>
    <row r="213" ht="16.5" customHeight="1"/>
    <row r="214" ht="16.5" customHeight="1"/>
    <row r="215" ht="16.5" customHeight="1"/>
    <row r="216" ht="16.5" customHeight="1"/>
    <row r="217" ht="16.5" customHeight="1"/>
  </sheetData>
  <sheetProtection/>
  <mergeCells count="54">
    <mergeCell ref="M9:N9"/>
    <mergeCell ref="B18:C18"/>
    <mergeCell ref="B19:C19"/>
    <mergeCell ref="M23:N23"/>
    <mergeCell ref="B20:C20"/>
    <mergeCell ref="I13:J13"/>
    <mergeCell ref="I23:J23"/>
    <mergeCell ref="B21:C21"/>
    <mergeCell ref="B14:C14"/>
    <mergeCell ref="B12:C12"/>
    <mergeCell ref="B15:C15"/>
    <mergeCell ref="B17:C17"/>
    <mergeCell ref="I18:J18"/>
    <mergeCell ref="I62:J62"/>
    <mergeCell ref="B43:C43"/>
    <mergeCell ref="B55:C55"/>
    <mergeCell ref="B54:C54"/>
    <mergeCell ref="B50:C50"/>
    <mergeCell ref="B52:C52"/>
    <mergeCell ref="B53:C53"/>
    <mergeCell ref="B47:C47"/>
    <mergeCell ref="B48:C48"/>
    <mergeCell ref="M26:N26"/>
    <mergeCell ref="B39:C39"/>
    <mergeCell ref="B41:C41"/>
    <mergeCell ref="B38:C38"/>
    <mergeCell ref="B32:C32"/>
    <mergeCell ref="B33:C33"/>
    <mergeCell ref="B35:C35"/>
    <mergeCell ref="B36:C36"/>
    <mergeCell ref="I28:J28"/>
    <mergeCell ref="Q34:R35"/>
    <mergeCell ref="I54:J54"/>
    <mergeCell ref="I47:J47"/>
    <mergeCell ref="I33:J33"/>
    <mergeCell ref="I39:J39"/>
    <mergeCell ref="M35:M36"/>
    <mergeCell ref="M37:M38"/>
    <mergeCell ref="E68:F68"/>
    <mergeCell ref="B61:D61"/>
    <mergeCell ref="E61:F61"/>
    <mergeCell ref="B62:C62"/>
    <mergeCell ref="B66:D66"/>
    <mergeCell ref="E66:F66"/>
    <mergeCell ref="O10:P10"/>
    <mergeCell ref="B56:C56"/>
    <mergeCell ref="B67:C67"/>
    <mergeCell ref="E67:F67"/>
    <mergeCell ref="B57:C57"/>
    <mergeCell ref="M32:O32"/>
    <mergeCell ref="M33:M34"/>
    <mergeCell ref="B29:C29"/>
    <mergeCell ref="B28:C28"/>
    <mergeCell ref="B27:C27"/>
  </mergeCells>
  <conditionalFormatting sqref="J24:J26 P12:P13 J15">
    <cfRule type="cellIs" priority="1" dxfId="0" operator="equal" stopIfTrue="1">
      <formula>$D$28</formula>
    </cfRule>
  </conditionalFormatting>
  <conditionalFormatting sqref="J29:J31">
    <cfRule type="cellIs" priority="2" dxfId="0" operator="equal" stopIfTrue="1">
      <formula>$D$32</formula>
    </cfRule>
  </conditionalFormatting>
  <conditionalFormatting sqref="J34:J37">
    <cfRule type="cellIs" priority="3" dxfId="0" operator="equal" stopIfTrue="1">
      <formula>$D$36</formula>
    </cfRule>
  </conditionalFormatting>
  <conditionalFormatting sqref="J41">
    <cfRule type="expression" priority="4" dxfId="0" stopIfTrue="1">
      <formula>$D$32=25</formula>
    </cfRule>
  </conditionalFormatting>
  <conditionalFormatting sqref="J42">
    <cfRule type="expression" priority="5" dxfId="0" stopIfTrue="1">
      <formula>$D$32=50</formula>
    </cfRule>
  </conditionalFormatting>
  <conditionalFormatting sqref="J43">
    <cfRule type="expression" priority="6" dxfId="0" stopIfTrue="1">
      <formula>$D$32=75</formula>
    </cfRule>
  </conditionalFormatting>
  <conditionalFormatting sqref="P11 J19:J21 J14 J16">
    <cfRule type="cellIs" priority="7" dxfId="0" operator="equal" stopIfTrue="1">
      <formula>$D$12</formula>
    </cfRule>
  </conditionalFormatting>
  <conditionalFormatting sqref="C63">
    <cfRule type="expression" priority="8" dxfId="0" stopIfTrue="1">
      <formula>$G$63&gt;0</formula>
    </cfRule>
  </conditionalFormatting>
  <conditionalFormatting sqref="C64">
    <cfRule type="expression" priority="9" dxfId="0" stopIfTrue="1">
      <formula>$G$64&gt;0</formula>
    </cfRule>
  </conditionalFormatting>
  <conditionalFormatting sqref="J48:J49">
    <cfRule type="cellIs" priority="10" dxfId="0" operator="equal" stopIfTrue="1">
      <formula>$D$48</formula>
    </cfRule>
  </conditionalFormatting>
  <printOptions horizontalCentered="1"/>
  <pageMargins left="0.3937007874015748" right="0.3937007874015748" top="0.7874015748031497" bottom="0.7874015748031497" header="0.3937007874015748" footer="0.3937007874015748"/>
  <pageSetup fitToHeight="1" fitToWidth="1" horizontalDpi="600" verticalDpi="600" orientation="portrait" paperSize="9" scale="73" r:id="rId2"/>
  <headerFooter alignWithMargins="0">
    <oddHeader>&amp;R&amp;F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/>
  <dimension ref="A1:O35"/>
  <sheetViews>
    <sheetView zoomScalePageLayoutView="0" workbookViewId="0" topLeftCell="A1">
      <selection activeCell="A3" sqref="A3"/>
    </sheetView>
  </sheetViews>
  <sheetFormatPr defaultColWidth="11.421875" defaultRowHeight="12.75"/>
  <cols>
    <col min="1" max="1" width="80.00390625" style="3" customWidth="1"/>
  </cols>
  <sheetData>
    <row r="1" s="1" customFormat="1" ht="75.75" customHeight="1">
      <c r="A1" s="4"/>
    </row>
    <row r="2" spans="1:15" ht="22.5" customHeight="1">
      <c r="A2" s="5" t="s">
        <v>121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12.75">
      <c r="A3" s="4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29.25" customHeight="1">
      <c r="A4" s="4" t="s">
        <v>122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 ht="27" customHeight="1">
      <c r="A5" s="4" t="s">
        <v>126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 ht="27" customHeight="1">
      <c r="A6" s="4" t="s">
        <v>130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 ht="23.25">
      <c r="A7" s="4" t="s">
        <v>123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 ht="12.75">
      <c r="A8" s="4" t="s">
        <v>124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 ht="17.25" customHeight="1">
      <c r="A9" s="4" t="s">
        <v>125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15" ht="28.5" customHeight="1">
      <c r="A10" s="4" t="s">
        <v>108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5" ht="28.5" customHeight="1">
      <c r="A11" s="4" t="s">
        <v>127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1:15" ht="28.5" customHeight="1">
      <c r="A12" s="4" t="s">
        <v>128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1:15" ht="28.5" customHeight="1">
      <c r="A13" s="4" t="s">
        <v>129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15" ht="12.75">
      <c r="A14" s="4" t="s">
        <v>109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5" ht="12.75">
      <c r="A15" s="4" t="s">
        <v>110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1:15" ht="28.5" customHeight="1">
      <c r="A16" s="4" t="s">
        <v>111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1:15" ht="12.75">
      <c r="A17" s="4" t="s">
        <v>112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1:15" ht="28.5" customHeight="1">
      <c r="A18" s="4" t="s">
        <v>113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15" ht="28.5" customHeight="1">
      <c r="A19" s="4" t="s">
        <v>114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 ht="12.75">
      <c r="A20" s="4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 ht="12.75">
      <c r="A21" s="4" t="s">
        <v>93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 ht="12.75">
      <c r="A22" s="4" t="s">
        <v>115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 ht="28.5" customHeight="1">
      <c r="A23" s="4" t="s">
        <v>116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15" ht="14.25" customHeight="1">
      <c r="A24" s="4" t="s">
        <v>133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 ht="12.75" customHeight="1">
      <c r="A25" s="4" t="s">
        <v>132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 ht="12.75">
      <c r="A26" s="4" t="s">
        <v>117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 ht="12.75">
      <c r="A27" s="6" t="s">
        <v>139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 ht="12.75">
      <c r="A28" s="4" t="s">
        <v>118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 ht="12.75">
      <c r="A29" s="4" t="s">
        <v>119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 ht="12.75">
      <c r="A30" s="4" t="s">
        <v>131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1:15" ht="28.5" customHeight="1">
      <c r="A31" s="4" t="s">
        <v>120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</row>
    <row r="32" spans="1:15" ht="28.5" customHeight="1">
      <c r="A32" s="4" t="s">
        <v>94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</row>
    <row r="33" spans="1:15" ht="12.75">
      <c r="A33" s="4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</row>
    <row r="34" spans="1:15" ht="12.75">
      <c r="A34" s="2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</row>
    <row r="35" spans="1:15" ht="12.75">
      <c r="A35" s="2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</row>
  </sheetData>
  <sheetProtection/>
  <printOptions horizontalCentered="1"/>
  <pageMargins left="0.7874015748031497" right="0.7874015748031497" top="0.984251968503937" bottom="0.984251968503937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Ninguna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Tania</dc:creator>
  <cp:keywords/>
  <dc:description/>
  <cp:lastModifiedBy>LM</cp:lastModifiedBy>
  <cp:lastPrinted>2008-08-20T17:44:32Z</cp:lastPrinted>
  <dcterms:created xsi:type="dcterms:W3CDTF">2006-04-10T08:55:06Z</dcterms:created>
  <dcterms:modified xsi:type="dcterms:W3CDTF">2014-06-27T08:14:40Z</dcterms:modified>
  <cp:category/>
  <cp:version/>
  <cp:contentType/>
  <cp:contentStatus/>
</cp:coreProperties>
</file>