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'26.27'!$A$1:$I$28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<sst xmlns="http://schemas.openxmlformats.org/spreadsheetml/2006/main" count="36" uniqueCount="31">
  <si>
    <t>ESTRUCTURA FORESTAL</t>
  </si>
  <si>
    <t>(hectáreas)</t>
  </si>
  <si>
    <t>Número de incendios</t>
  </si>
  <si>
    <t>Superficie desarbolada afectada</t>
  </si>
  <si>
    <t>Superficie total</t>
  </si>
  <si>
    <t>(número)</t>
  </si>
  <si>
    <t>(%)</t>
  </si>
  <si>
    <t>Superficie arbolada afectada</t>
  </si>
  <si>
    <t>Causas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</si>
  <si>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</si>
  <si>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</si>
  <si>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</si>
  <si>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</si>
  <si>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</si>
  <si>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</si>
  <si>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Escape de vertedero</t>
  </si>
  <si>
    <t xml:space="preserve">  Otras negligencias</t>
  </si>
  <si>
    <t xml:space="preserve"> NEGLIGENCIAS</t>
  </si>
  <si>
    <t xml:space="preserve"> RAYO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</si>
  <si>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</si>
  <si>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</si>
  <si>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</si>
  <si>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</si>
  <si>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 Otras</t>
  </si>
  <si>
    <t xml:space="preserve"> OTRAS CAUSAS</t>
  </si>
  <si>
    <t xml:space="preserve"> INTENCIONADOS</t>
  </si>
  <si>
    <t xml:space="preserve"> DESCONOCIDAS</t>
  </si>
  <si>
    <t xml:space="preserve"> INCENDIO REPRODUCIDO</t>
  </si>
  <si>
    <t>Fuente: Ministerio de Medio Ambiente.</t>
  </si>
  <si>
    <t xml:space="preserve"> TOTAL</t>
  </si>
  <si>
    <t xml:space="preserve"> 26.27.  INCENDIOS FORESTALES: Clasificación según causas del número de incendios y superficie afectada, 2002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</si>
</sst>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182" fontId="0" fillId="2" borderId="0" xfId="0" applyNumberFormat="1" applyFont="1" applyFill="1" applyBorder="1" applyAlignment="1">
      <alignment/>
    </xf>
    <xf numFmtId="182" fontId="0" fillId="2" borderId="0" xfId="0" applyNumberFormat="1" applyFont="1" applyFill="1" applyAlignment="1">
      <alignment/>
    </xf>
    <xf numFmtId="0" fontId="0" fillId="2" borderId="3" xfId="0" applyFont="1" applyFill="1" applyBorder="1" applyAlignment="1">
      <alignment horizontal="center"/>
    </xf>
    <xf numFmtId="182" fontId="0" fillId="2" borderId="1" xfId="0" applyNumberFormat="1" applyFont="1" applyFill="1" applyBorder="1" applyAlignment="1">
      <alignment/>
    </xf>
    <xf numFmtId="182" fontId="0" fillId="2" borderId="4" xfId="0" applyNumberFormat="1" applyFont="1" applyFill="1" applyBorder="1" applyAlignment="1">
      <alignment/>
    </xf>
    <xf numFmtId="182" fontId="0" fillId="2" borderId="5" xfId="0" applyNumberFormat="1" applyFont="1" applyFill="1" applyBorder="1" applyAlignment="1">
      <alignment/>
    </xf>
    <xf numFmtId="188" fontId="0" fillId="2" borderId="5" xfId="0" applyNumberFormat="1" applyFont="1" applyFill="1" applyBorder="1" applyAlignment="1">
      <alignment/>
    </xf>
    <xf numFmtId="188" fontId="0" fillId="2" borderId="4" xfId="0" applyNumberFormat="1" applyFont="1" applyFill="1" applyBorder="1" applyAlignment="1">
      <alignment/>
    </xf>
    <xf numFmtId="182" fontId="0" fillId="2" borderId="4" xfId="0" applyNumberFormat="1" applyFont="1" applyFill="1" applyBorder="1" applyAlignment="1" quotePrefix="1">
      <alignment/>
    </xf>
    <xf numFmtId="182" fontId="5" fillId="2" borderId="3" xfId="0" applyNumberFormat="1" applyFont="1" applyFill="1" applyBorder="1" applyAlignment="1">
      <alignment/>
    </xf>
    <xf numFmtId="2" fontId="5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1"/>
    </xf>
    <xf numFmtId="0" fontId="0" fillId="2" borderId="7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 indent="1"/>
    </xf>
    <xf numFmtId="182" fontId="5" fillId="2" borderId="9" xfId="0" applyNumberFormat="1" applyFont="1" applyFill="1" applyBorder="1" applyAlignment="1">
      <alignment/>
    </xf>
    <xf numFmtId="188" fontId="5" fillId="2" borderId="9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8" xfId="0" applyFont="1" applyFill="1" applyBorder="1" applyAlignment="1">
      <alignment/>
    </xf>
    <xf numFmtId="182" fontId="5" fillId="2" borderId="10" xfId="0" applyNumberFormat="1" applyFont="1" applyFill="1" applyBorder="1" applyAlignment="1">
      <alignment/>
    </xf>
    <xf numFmtId="182" fontId="5" fillId="2" borderId="4" xfId="0" applyNumberFormat="1" applyFont="1" applyFill="1" applyBorder="1" applyAlignment="1">
      <alignment/>
    </xf>
    <xf numFmtId="188" fontId="5" fillId="2" borderId="4" xfId="0" applyNumberFormat="1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L31"/>
  <sheetViews>
    <sheetView tabSelected="1" zoomScale="75" zoomScaleNormal="75" workbookViewId="0" topLeftCell="A1">
      <selection activeCell="K10" sqref="K10"/>
    </sheetView>
  </sheetViews>
  <sheetFormatPr defaultColWidth="11.421875" defaultRowHeight="12.75"/>
  <cols>
    <col min="1" max="1" width="30.7109375" style="6" customWidth="1"/>
    <col min="2" max="9" width="13.7109375" style="6" customWidth="1"/>
    <col min="10" max="16384" width="11.421875" style="6" customWidth="1"/>
  </cols>
  <sheetData>
    <row r="1" spans="1:12" s="5" customFormat="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4"/>
      <c r="K1" s="4"/>
      <c r="L1" s="4"/>
    </row>
    <row r="3" spans="1:9" ht="15">
      <c r="A3" s="34" t="s">
        <v>30</v>
      </c>
      <c r="B3" s="35"/>
      <c r="C3" s="35"/>
      <c r="D3" s="35"/>
      <c r="E3" s="35"/>
      <c r="F3" s="35"/>
      <c r="G3" s="39"/>
      <c r="H3" s="39"/>
      <c r="I3" s="39"/>
    </row>
    <row r="4" spans="1:9" ht="14.25">
      <c r="A4" s="7"/>
      <c r="B4" s="7"/>
      <c r="C4" s="7"/>
      <c r="D4" s="7"/>
      <c r="E4" s="7"/>
      <c r="F4" s="7"/>
      <c r="G4" s="1"/>
      <c r="H4" s="1"/>
      <c r="I4" s="1"/>
    </row>
    <row r="5" spans="1:9" ht="12.75">
      <c r="A5" s="32"/>
      <c r="B5" s="36" t="s">
        <v>2</v>
      </c>
      <c r="C5" s="38"/>
      <c r="D5" s="36" t="s">
        <v>7</v>
      </c>
      <c r="E5" s="38"/>
      <c r="F5" s="36" t="s">
        <v>3</v>
      </c>
      <c r="G5" s="38"/>
      <c r="H5" s="36" t="s">
        <v>4</v>
      </c>
      <c r="I5" s="37"/>
    </row>
    <row r="6" spans="1:9" ht="13.5" thickBot="1">
      <c r="A6" s="8" t="s">
        <v>8</v>
      </c>
      <c r="B6" s="12" t="s">
        <v>5</v>
      </c>
      <c r="C6" s="21" t="s">
        <v>6</v>
      </c>
      <c r="D6" s="12" t="s">
        <v>1</v>
      </c>
      <c r="E6" s="21" t="s">
        <v>6</v>
      </c>
      <c r="F6" s="12" t="s">
        <v>1</v>
      </c>
      <c r="G6" s="21" t="s">
        <v>6</v>
      </c>
      <c r="H6" s="12" t="s">
        <v>1</v>
      </c>
      <c r="I6" s="21" t="s">
        <v>6</v>
      </c>
    </row>
    <row r="7" spans="1:9" ht="12.75">
      <c r="A7" s="23" t="s">
        <v>9</v>
      </c>
      <c r="B7" s="15">
        <f>452+323</f>
        <v>775</v>
      </c>
      <c r="C7" s="16">
        <f aca="true" t="shared" si="0" ref="C7:C25">($B7/$B$27)*100</f>
        <v>3.888805258668272</v>
      </c>
      <c r="D7" s="15">
        <v>1602.34</v>
      </c>
      <c r="E7" s="16">
        <f aca="true" t="shared" si="1" ref="E7:E25">D7*100/$D$27</f>
        <v>6.359271831347574</v>
      </c>
      <c r="F7" s="15">
        <v>3137.14</v>
      </c>
      <c r="G7" s="16">
        <f aca="true" t="shared" si="2" ref="G7:G25">F7*100/$F$27</f>
        <v>3.8129865230250597</v>
      </c>
      <c r="H7" s="15">
        <f aca="true" t="shared" si="3" ref="H7:H25">F7+D7</f>
        <v>4739.48</v>
      </c>
      <c r="I7" s="16">
        <f>H7*100/$H$27</f>
        <v>4.40996519560202</v>
      </c>
    </row>
    <row r="8" spans="1:9" ht="12.75">
      <c r="A8" s="22" t="s">
        <v>10</v>
      </c>
      <c r="B8" s="14">
        <f>156+279</f>
        <v>435</v>
      </c>
      <c r="C8" s="17">
        <f t="shared" si="0"/>
        <v>2.1827487580912237</v>
      </c>
      <c r="D8" s="14">
        <v>533.67</v>
      </c>
      <c r="E8" s="17">
        <f t="shared" si="1"/>
        <v>2.117997802111449</v>
      </c>
      <c r="F8" s="14">
        <v>3403.71</v>
      </c>
      <c r="G8" s="17">
        <f t="shared" si="2"/>
        <v>4.136984756270242</v>
      </c>
      <c r="H8" s="14">
        <f t="shared" si="3"/>
        <v>3937.38</v>
      </c>
      <c r="I8" s="17">
        <v>3.48</v>
      </c>
    </row>
    <row r="9" spans="1:9" ht="12.75">
      <c r="A9" s="22" t="s">
        <v>11</v>
      </c>
      <c r="B9" s="14">
        <f>126+56</f>
        <v>182</v>
      </c>
      <c r="C9" s="17">
        <f t="shared" si="0"/>
        <v>0.91324200913242</v>
      </c>
      <c r="D9" s="14">
        <f>533.67+79.81</f>
        <v>613.48</v>
      </c>
      <c r="E9" s="17">
        <f t="shared" si="1"/>
        <v>2.4347429903111135</v>
      </c>
      <c r="F9" s="14">
        <f>342.62+87.46</f>
        <v>430.08</v>
      </c>
      <c r="G9" s="17">
        <f t="shared" si="2"/>
        <v>0.5227338415954078</v>
      </c>
      <c r="H9" s="14">
        <f t="shared" si="3"/>
        <v>1043.56</v>
      </c>
      <c r="I9" s="17">
        <v>1.24</v>
      </c>
    </row>
    <row r="10" spans="1:9" ht="12.75">
      <c r="A10" s="22" t="s">
        <v>12</v>
      </c>
      <c r="B10" s="14">
        <f>96+52</f>
        <v>148</v>
      </c>
      <c r="C10" s="17">
        <f t="shared" si="0"/>
        <v>0.7426363590747153</v>
      </c>
      <c r="D10" s="14">
        <v>163.24</v>
      </c>
      <c r="E10" s="17">
        <f t="shared" si="1"/>
        <v>0.64785721741277</v>
      </c>
      <c r="F10" s="14">
        <v>362.7</v>
      </c>
      <c r="G10" s="17">
        <f t="shared" si="2"/>
        <v>0.4408379007316183</v>
      </c>
      <c r="H10" s="14">
        <f t="shared" si="3"/>
        <v>525.94</v>
      </c>
      <c r="I10" s="17">
        <v>0.49</v>
      </c>
    </row>
    <row r="11" spans="1:9" ht="12.75">
      <c r="A11" s="22" t="s">
        <v>13</v>
      </c>
      <c r="B11" s="14">
        <f>107+147</f>
        <v>254</v>
      </c>
      <c r="C11" s="17">
        <f t="shared" si="0"/>
        <v>1.274524562195795</v>
      </c>
      <c r="D11" s="14">
        <v>161</v>
      </c>
      <c r="E11" s="17">
        <f t="shared" si="1"/>
        <v>0.6389672384431265</v>
      </c>
      <c r="F11" s="14">
        <v>613.18</v>
      </c>
      <c r="G11" s="17">
        <f t="shared" si="2"/>
        <v>0.7452798014078128</v>
      </c>
      <c r="H11" s="14">
        <f t="shared" si="3"/>
        <v>774.18</v>
      </c>
      <c r="I11" s="17">
        <v>3.66</v>
      </c>
    </row>
    <row r="12" spans="1:9" ht="12.75">
      <c r="A12" s="22" t="s">
        <v>14</v>
      </c>
      <c r="B12" s="14">
        <f>88+66</f>
        <v>154</v>
      </c>
      <c r="C12" s="17">
        <f t="shared" si="0"/>
        <v>0.7727432384966632</v>
      </c>
      <c r="D12" s="14">
        <v>63.88</v>
      </c>
      <c r="E12" s="17">
        <f t="shared" si="1"/>
        <v>0.25352315025929767</v>
      </c>
      <c r="F12" s="14">
        <v>233.3</v>
      </c>
      <c r="G12" s="17">
        <f t="shared" si="2"/>
        <v>0.28356074508047024</v>
      </c>
      <c r="H12" s="14">
        <f t="shared" si="3"/>
        <v>297.18</v>
      </c>
      <c r="I12" s="17">
        <v>1.03</v>
      </c>
    </row>
    <row r="13" spans="1:9" ht="12.75">
      <c r="A13" s="24" t="s">
        <v>15</v>
      </c>
      <c r="B13" s="13">
        <f>94+73</f>
        <v>167</v>
      </c>
      <c r="C13" s="17">
        <f t="shared" si="0"/>
        <v>0.8379748105775502</v>
      </c>
      <c r="D13" s="13">
        <v>199.21</v>
      </c>
      <c r="E13" s="17">
        <f t="shared" si="1"/>
        <v>0.7906128172065543</v>
      </c>
      <c r="F13" s="13">
        <v>1136.94</v>
      </c>
      <c r="G13" s="17">
        <f t="shared" si="2"/>
        <v>1.3818754972644227</v>
      </c>
      <c r="H13" s="14">
        <f t="shared" si="3"/>
        <v>1336.15</v>
      </c>
      <c r="I13" s="17">
        <v>0.93</v>
      </c>
    </row>
    <row r="14" spans="1:9" ht="12.75">
      <c r="A14" s="22" t="s">
        <v>16</v>
      </c>
      <c r="B14" s="14">
        <f>141+293</f>
        <v>434</v>
      </c>
      <c r="C14" s="17">
        <f t="shared" si="0"/>
        <v>2.1777309448542326</v>
      </c>
      <c r="D14" s="14">
        <v>380.86</v>
      </c>
      <c r="E14" s="17">
        <f t="shared" si="1"/>
        <v>1.5115345492760819</v>
      </c>
      <c r="F14" s="14">
        <v>2227.43</v>
      </c>
      <c r="G14" s="17">
        <f t="shared" si="2"/>
        <v>2.7072940866463426</v>
      </c>
      <c r="H14" s="14">
        <f t="shared" si="3"/>
        <v>2608.29</v>
      </c>
      <c r="I14" s="17">
        <v>5.6</v>
      </c>
    </row>
    <row r="15" spans="1:9" s="27" customFormat="1" ht="12.75">
      <c r="A15" s="2" t="s">
        <v>17</v>
      </c>
      <c r="B15" s="25">
        <f>1338+1327</f>
        <v>2665</v>
      </c>
      <c r="C15" s="26">
        <f t="shared" si="0"/>
        <v>13.372472276581865</v>
      </c>
      <c r="D15" s="25">
        <v>3371.96</v>
      </c>
      <c r="E15" s="26">
        <f t="shared" si="1"/>
        <v>13.382434592178168</v>
      </c>
      <c r="F15" s="25">
        <v>11544.48</v>
      </c>
      <c r="G15" s="26">
        <f t="shared" si="2"/>
        <v>14.031553152021376</v>
      </c>
      <c r="H15" s="25">
        <f t="shared" si="3"/>
        <v>14916.439999999999</v>
      </c>
      <c r="I15" s="26">
        <v>18.86</v>
      </c>
    </row>
    <row r="16" spans="1:9" s="27" customFormat="1" ht="12.75">
      <c r="A16" s="2" t="s">
        <v>18</v>
      </c>
      <c r="B16" s="25">
        <f>611+85</f>
        <v>696</v>
      </c>
      <c r="C16" s="26">
        <f t="shared" si="0"/>
        <v>3.492398012945958</v>
      </c>
      <c r="D16" s="25">
        <v>449.03</v>
      </c>
      <c r="E16" s="26">
        <f t="shared" si="1"/>
        <v>1.7820835967584914</v>
      </c>
      <c r="F16" s="25">
        <v>2753.87</v>
      </c>
      <c r="G16" s="26">
        <f t="shared" si="2"/>
        <v>3.3471471455411685</v>
      </c>
      <c r="H16" s="25">
        <f t="shared" si="3"/>
        <v>3202.8999999999996</v>
      </c>
      <c r="I16" s="26">
        <v>9.72</v>
      </c>
    </row>
    <row r="17" spans="1:9" ht="12.75">
      <c r="A17" s="22" t="s">
        <v>19</v>
      </c>
      <c r="B17" s="14">
        <f>40+53</f>
        <v>93</v>
      </c>
      <c r="C17" s="17">
        <f t="shared" si="0"/>
        <v>0.46665663104019267</v>
      </c>
      <c r="D17" s="14">
        <v>173.04</v>
      </c>
      <c r="E17" s="17">
        <f t="shared" si="1"/>
        <v>0.6867508754049604</v>
      </c>
      <c r="F17" s="14">
        <v>481.23</v>
      </c>
      <c r="G17" s="17">
        <f t="shared" si="2"/>
        <v>0.5849032891344822</v>
      </c>
      <c r="H17" s="14">
        <f t="shared" si="3"/>
        <v>654.27</v>
      </c>
      <c r="I17" s="17">
        <v>1.17</v>
      </c>
    </row>
    <row r="18" spans="1:9" ht="12.75">
      <c r="A18" s="22" t="s">
        <v>20</v>
      </c>
      <c r="B18" s="14">
        <f>108+44</f>
        <v>152</v>
      </c>
      <c r="C18" s="17">
        <f t="shared" si="0"/>
        <v>0.7627076120226806</v>
      </c>
      <c r="D18" s="14">
        <v>394.02</v>
      </c>
      <c r="E18" s="17">
        <f t="shared" si="1"/>
        <v>1.5637631757227375</v>
      </c>
      <c r="F18" s="14">
        <v>642.13</v>
      </c>
      <c r="G18" s="17">
        <f t="shared" si="2"/>
        <v>0.7804666148243564</v>
      </c>
      <c r="H18" s="14">
        <f t="shared" si="3"/>
        <v>1036.15</v>
      </c>
      <c r="I18" s="17">
        <v>1.56</v>
      </c>
    </row>
    <row r="19" spans="1:9" ht="12.75">
      <c r="A19" s="22" t="s">
        <v>21</v>
      </c>
      <c r="B19" s="14">
        <f>181+53</f>
        <v>234</v>
      </c>
      <c r="C19" s="17">
        <f t="shared" si="0"/>
        <v>1.1741682974559686</v>
      </c>
      <c r="D19" s="14">
        <v>1010.26</v>
      </c>
      <c r="E19" s="17">
        <f t="shared" si="1"/>
        <v>4.009459890121447</v>
      </c>
      <c r="F19" s="14">
        <v>1996.64</v>
      </c>
      <c r="G19" s="17">
        <f t="shared" si="2"/>
        <v>2.426784080829276</v>
      </c>
      <c r="H19" s="14">
        <f t="shared" si="3"/>
        <v>3006.9</v>
      </c>
      <c r="I19" s="17">
        <v>3.54</v>
      </c>
    </row>
    <row r="20" spans="1:9" ht="12.75">
      <c r="A20" s="22" t="s">
        <v>22</v>
      </c>
      <c r="B20" s="14">
        <f>4+3</f>
        <v>7</v>
      </c>
      <c r="C20" s="17">
        <f t="shared" si="0"/>
        <v>0.035124692658939236</v>
      </c>
      <c r="D20" s="18">
        <v>1.06</v>
      </c>
      <c r="E20" s="17">
        <f t="shared" si="1"/>
        <v>0.004206865048134871</v>
      </c>
      <c r="F20" s="14">
        <v>71.79</v>
      </c>
      <c r="G20" s="17">
        <f t="shared" si="2"/>
        <v>0.08725600466921114</v>
      </c>
      <c r="H20" s="14">
        <f t="shared" si="3"/>
        <v>72.85000000000001</v>
      </c>
      <c r="I20" s="17">
        <v>0.05</v>
      </c>
    </row>
    <row r="21" spans="1:9" ht="12.75">
      <c r="A21" s="24" t="s">
        <v>23</v>
      </c>
      <c r="B21" s="13">
        <f>91+165</f>
        <v>256</v>
      </c>
      <c r="C21" s="17">
        <f t="shared" si="0"/>
        <v>1.2845601886697777</v>
      </c>
      <c r="D21" s="13">
        <v>292.58</v>
      </c>
      <c r="E21" s="17">
        <f t="shared" si="1"/>
        <v>1.1611741280974532</v>
      </c>
      <c r="F21" s="13">
        <v>1217.14</v>
      </c>
      <c r="G21" s="17">
        <f t="shared" si="2"/>
        <v>1.4793533016169893</v>
      </c>
      <c r="H21" s="14">
        <f t="shared" si="3"/>
        <v>1509.72</v>
      </c>
      <c r="I21" s="17">
        <v>1.76</v>
      </c>
    </row>
    <row r="22" spans="1:9" s="27" customFormat="1" ht="12.75">
      <c r="A22" s="2" t="s">
        <v>24</v>
      </c>
      <c r="B22" s="25">
        <f>424+318</f>
        <v>742</v>
      </c>
      <c r="C22" s="26">
        <f t="shared" si="0"/>
        <v>3.723217421847559</v>
      </c>
      <c r="D22" s="25">
        <v>1870.96</v>
      </c>
      <c r="E22" s="26">
        <f t="shared" si="1"/>
        <v>7.425354934394734</v>
      </c>
      <c r="F22" s="25">
        <v>4408.93</v>
      </c>
      <c r="G22" s="26">
        <f t="shared" si="2"/>
        <v>5.358763291074315</v>
      </c>
      <c r="H22" s="25">
        <f t="shared" si="3"/>
        <v>6279.89</v>
      </c>
      <c r="I22" s="26">
        <v>8.08</v>
      </c>
    </row>
    <row r="23" spans="1:9" s="27" customFormat="1" ht="12.75">
      <c r="A23" s="2" t="s">
        <v>25</v>
      </c>
      <c r="B23" s="25">
        <f>1300+11073</f>
        <v>12373</v>
      </c>
      <c r="C23" s="26">
        <f t="shared" si="0"/>
        <v>62.0854031812936</v>
      </c>
      <c r="D23" s="25">
        <v>14463.56</v>
      </c>
      <c r="E23" s="26">
        <f t="shared" si="1"/>
        <v>57.40211795811471</v>
      </c>
      <c r="F23" s="25">
        <v>49788.81</v>
      </c>
      <c r="G23" s="26">
        <f t="shared" si="2"/>
        <v>60.51501097415331</v>
      </c>
      <c r="H23" s="25">
        <f t="shared" si="3"/>
        <v>64252.369999999995</v>
      </c>
      <c r="I23" s="26">
        <v>50.19</v>
      </c>
    </row>
    <row r="24" spans="1:9" s="27" customFormat="1" ht="12.75">
      <c r="A24" s="2" t="s">
        <v>26</v>
      </c>
      <c r="B24" s="25">
        <f>3044+0</f>
        <v>3044</v>
      </c>
      <c r="C24" s="26">
        <f t="shared" si="0"/>
        <v>15.274223493401577</v>
      </c>
      <c r="D24" s="25">
        <v>4543.13</v>
      </c>
      <c r="E24" s="26">
        <f t="shared" si="1"/>
        <v>18.03050453408771</v>
      </c>
      <c r="F24" s="25">
        <v>13169.94</v>
      </c>
      <c r="G24" s="26">
        <f t="shared" si="2"/>
        <v>16.007192452057815</v>
      </c>
      <c r="H24" s="25">
        <f t="shared" si="3"/>
        <v>17713.07</v>
      </c>
      <c r="I24" s="26">
        <v>12.64</v>
      </c>
    </row>
    <row r="25" spans="1:9" s="27" customFormat="1" ht="12.75">
      <c r="A25" s="28" t="s">
        <v>27</v>
      </c>
      <c r="B25" s="29">
        <f>108+301</f>
        <v>409</v>
      </c>
      <c r="C25" s="26">
        <f t="shared" si="0"/>
        <v>2.0522856139294494</v>
      </c>
      <c r="D25" s="29">
        <v>498.27</v>
      </c>
      <c r="E25" s="26">
        <f t="shared" si="1"/>
        <v>1.9775043844661906</v>
      </c>
      <c r="F25" s="29">
        <v>609.11</v>
      </c>
      <c r="G25" s="26">
        <f t="shared" si="2"/>
        <v>0.7403329851520155</v>
      </c>
      <c r="H25" s="25">
        <f t="shared" si="3"/>
        <v>1107.38</v>
      </c>
      <c r="I25" s="26">
        <v>0.82</v>
      </c>
    </row>
    <row r="26" spans="1:9" s="27" customFormat="1" ht="12.75">
      <c r="A26" s="2"/>
      <c r="B26" s="30"/>
      <c r="C26" s="31"/>
      <c r="D26" s="30"/>
      <c r="E26" s="31"/>
      <c r="F26" s="30"/>
      <c r="G26" s="31"/>
      <c r="H26" s="30"/>
      <c r="I26" s="31"/>
    </row>
    <row r="27" spans="1:9" ht="13.5" thickBot="1">
      <c r="A27" s="3" t="s">
        <v>29</v>
      </c>
      <c r="B27" s="19">
        <f>B15+B16+B22+B23+B24+B25</f>
        <v>19929</v>
      </c>
      <c r="C27" s="20">
        <f>SUM(C15,C16,C22,C23,C24,C25)</f>
        <v>100.00000000000001</v>
      </c>
      <c r="D27" s="19">
        <f>D15+D16+D22+D23+D24+D25</f>
        <v>25196.91</v>
      </c>
      <c r="E27" s="20">
        <v>100</v>
      </c>
      <c r="F27" s="19">
        <f>F15+F16+F22+F23+F24+F25</f>
        <v>82275.14</v>
      </c>
      <c r="G27" s="20">
        <v>100</v>
      </c>
      <c r="H27" s="19">
        <f>H15+H16+H22+H23+H24+H25</f>
        <v>107472.04999999999</v>
      </c>
      <c r="I27" s="20">
        <v>100</v>
      </c>
    </row>
    <row r="28" spans="1:9" ht="12.75">
      <c r="A28" s="9" t="s">
        <v>28</v>
      </c>
      <c r="B28" s="10"/>
      <c r="C28" s="1"/>
      <c r="D28" s="1"/>
      <c r="E28" s="1"/>
      <c r="F28" s="1"/>
      <c r="G28" s="1"/>
      <c r="H28" s="1"/>
      <c r="I28" s="1"/>
    </row>
    <row r="29" spans="2:3" ht="12.75">
      <c r="B29" s="11"/>
      <c r="C29" s="11"/>
    </row>
    <row r="30" spans="3:5" ht="12.75">
      <c r="C30" s="11"/>
      <c r="E30" s="11"/>
    </row>
    <row r="31" spans="2:3" ht="12.75">
      <c r="B31" s="11"/>
      <c r="C31" s="11"/>
    </row>
  </sheetData>
  <mergeCells count="6">
    <mergeCell ref="A1:I1"/>
    <mergeCell ref="A3:I3"/>
    <mergeCell ref="B5:C5"/>
    <mergeCell ref="D5:E5"/>
    <mergeCell ref="F5:G5"/>
    <mergeCell ref="H5:I5"/>
  </mergeCells>
  <printOptions horizontalCentered="1"/>
  <pageMargins left="0.75" right="0.75" top="0.5905511811023623" bottom="1" header="0" footer="0"/>
  <pageSetup horizontalDpi="300" verticalDpi="300" orientation="portrait" paperSize="9" scale="65" r:id="rId1"/>
  <ignoredErrors>
    <ignoredError sqref="C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