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7656" windowHeight="8976" tabRatio="884" activeTab="0"/>
  </bookViews>
  <sheets>
    <sheet name="Esparc.est." sheetId="1" r:id="rId1"/>
    <sheet name="Metodología" sheetId="2" r:id="rId2"/>
  </sheets>
  <definedNames>
    <definedName name="_xlnm.Print_Area" localSheetId="0">'Esparc.est.'!$A$1:$K$68</definedName>
    <definedName name="_xlnm.Print_Area" localSheetId="1">'Metodología'!$A$1:$A$28</definedName>
  </definedNames>
  <calcPr fullCalcOnLoad="1"/>
</workbook>
</file>

<file path=xl/sharedStrings.xml><?xml version="1.0" encoding="utf-8"?>
<sst xmlns="http://schemas.openxmlformats.org/spreadsheetml/2006/main" count="174" uniqueCount="128">
  <si>
    <t>OPERACIÓN:</t>
  </si>
  <si>
    <t xml:space="preserve">APERO: </t>
  </si>
  <si>
    <t>Baja</t>
  </si>
  <si>
    <t>Media</t>
  </si>
  <si>
    <t>m</t>
  </si>
  <si>
    <t>Alta</t>
  </si>
  <si>
    <t>km/h</t>
  </si>
  <si>
    <t>Eficiencia de trabajo</t>
  </si>
  <si>
    <t>h/ha</t>
  </si>
  <si>
    <t>Eficiencia</t>
  </si>
  <si>
    <t>ha/h</t>
  </si>
  <si>
    <t>Nivel de carga de trabajo (%)</t>
  </si>
  <si>
    <t>CV</t>
  </si>
  <si>
    <t>%</t>
  </si>
  <si>
    <t>Potencia tractor necesaria</t>
  </si>
  <si>
    <t>Nivel potencia tractor (CV)</t>
  </si>
  <si>
    <t>Mediano</t>
  </si>
  <si>
    <t>Grande</t>
  </si>
  <si>
    <t>Muy grande</t>
  </si>
  <si>
    <t>Consumo de combustible</t>
  </si>
  <si>
    <t>Consumo combustible</t>
  </si>
  <si>
    <t>Consumo de aceite</t>
  </si>
  <si>
    <t>Carga</t>
  </si>
  <si>
    <t>Horas trabajo anuales</t>
  </si>
  <si>
    <t>h/año</t>
  </si>
  <si>
    <t>Precio adquisición</t>
  </si>
  <si>
    <t>€</t>
  </si>
  <si>
    <t>amort. - desgaste</t>
  </si>
  <si>
    <t>h</t>
  </si>
  <si>
    <t>€/h</t>
  </si>
  <si>
    <t>amort. - obsolescencia</t>
  </si>
  <si>
    <t>años</t>
  </si>
  <si>
    <t>interés</t>
  </si>
  <si>
    <t>seguros</t>
  </si>
  <si>
    <t>% PA</t>
  </si>
  <si>
    <t>resguardo</t>
  </si>
  <si>
    <t>mantenim-reparaciones</t>
  </si>
  <si>
    <t>€/ha</t>
  </si>
  <si>
    <t>Coste total</t>
  </si>
  <si>
    <t>ha/año</t>
  </si>
  <si>
    <t>Tractor auxiliar</t>
  </si>
  <si>
    <t>kW</t>
  </si>
  <si>
    <t>horas</t>
  </si>
  <si>
    <t>€/L</t>
  </si>
  <si>
    <t>€/kW</t>
  </si>
  <si>
    <t>Seguros</t>
  </si>
  <si>
    <t>Resguardo</t>
  </si>
  <si>
    <t>L/h-kW</t>
  </si>
  <si>
    <t>L/h</t>
  </si>
  <si>
    <t>Velocidad de trabajo</t>
  </si>
  <si>
    <t>Potencia de tracción</t>
  </si>
  <si>
    <t>Peso apero (vacío)</t>
  </si>
  <si>
    <t>consumos</t>
  </si>
  <si>
    <t>anchura alta</t>
  </si>
  <si>
    <t>anchura normal</t>
  </si>
  <si>
    <t>RESULTADOS MAPA</t>
  </si>
  <si>
    <t>Nivel de carga del tractor</t>
  </si>
  <si>
    <t>Potencia necesaria</t>
  </si>
  <si>
    <t>Pequeño</t>
  </si>
  <si>
    <t>Coef. Esfuerzo tracción</t>
  </si>
  <si>
    <t>Bajo</t>
  </si>
  <si>
    <t>Medio</t>
  </si>
  <si>
    <t>Alto</t>
  </si>
  <si>
    <t>Incremento por pot. tdf</t>
  </si>
  <si>
    <t>COSTES DE UTILIZACIÓN</t>
  </si>
  <si>
    <t>COSTES DE POSESIÓN</t>
  </si>
  <si>
    <t>Coste gasóleo</t>
  </si>
  <si>
    <t>L/ha</t>
  </si>
  <si>
    <t>Coste combustible</t>
  </si>
  <si>
    <t>Capacidad trabajo teórica</t>
  </si>
  <si>
    <t>Capacidad trabajo real</t>
  </si>
  <si>
    <t>Factor (L/h-kW)</t>
  </si>
  <si>
    <t>No hay datos de ASAE</t>
  </si>
  <si>
    <t>7 L/ha</t>
  </si>
  <si>
    <t>Abonado estiércol</t>
  </si>
  <si>
    <t>Remolque esparcidor de estiércol</t>
  </si>
  <si>
    <t>Capacidad del remolque</t>
  </si>
  <si>
    <t>t</t>
  </si>
  <si>
    <t>Anchura de trabajo</t>
  </si>
  <si>
    <t>Capacidad del remolque (t)</t>
  </si>
  <si>
    <t>Anchura de trabajo (m)</t>
  </si>
  <si>
    <t>5 L/ha</t>
  </si>
  <si>
    <t>Pot a la barra i/rod+desliz</t>
  </si>
  <si>
    <t>Tipo de tractor escogido</t>
  </si>
  <si>
    <t>Potencia tractor escogido</t>
  </si>
  <si>
    <t>Utilización anual</t>
  </si>
  <si>
    <t>€/h s/comb</t>
  </si>
  <si>
    <t>Baja (500 h/año)</t>
  </si>
  <si>
    <t>Alta (1.000 h/año)</t>
  </si>
  <si>
    <t>Utilización apero (h/año)</t>
  </si>
  <si>
    <t>AUXILIAR</t>
  </si>
  <si>
    <t>€/t</t>
  </si>
  <si>
    <t>Hipótesis tractor auxiliar</t>
  </si>
  <si>
    <t>Costes horarios tractor auxiliar  (€/h)</t>
  </si>
  <si>
    <t>Precio adquis.</t>
  </si>
  <si>
    <t>€/h s/comb.</t>
  </si>
  <si>
    <t>Amortización</t>
  </si>
  <si>
    <t>Tasa interés</t>
  </si>
  <si>
    <t>Mant.-Reparac</t>
  </si>
  <si>
    <t>Cons.carga media</t>
  </si>
  <si>
    <t xml:space="preserve"> +combustible</t>
  </si>
  <si>
    <t>TRACTOR + APERO</t>
  </si>
  <si>
    <t>Distribución de estiércol mediante remolque esparcidor</t>
  </si>
  <si>
    <t>Los datos de partida de esta operación son los siguientes:</t>
  </si>
  <si>
    <t>Las hipótesis establecidas para el cálculo de los costes son las siguientes:</t>
  </si>
  <si>
    <t>Precio adquisición tractor</t>
  </si>
  <si>
    <t xml:space="preserve"> €/kW de potencia</t>
  </si>
  <si>
    <t>-          Capacidad de la cisterna: Alta (10 t) y baja (5 t)</t>
  </si>
  <si>
    <t>-          Anchura de trabajo del apero: Alta (4 m) y baja (2 m)</t>
  </si>
  <si>
    <t>-          Eficiencia de la operación: Baja, media o alta (se recomienda escoger media para esta operación puesto que es la situación más habitual)</t>
  </si>
  <si>
    <t>-          Nivel de carga del tractor: Bajo, medio o alto (se recomienda poner un nivel alto para esta operación)</t>
  </si>
  <si>
    <t>-          Peso apero vacío: Expresado en toneladas</t>
  </si>
  <si>
    <t>-          Coeficiente de esfuerzo de tracción: Se ha tomado un valor de 0,2. Incluye el esfuerzo de tiro del apero.</t>
  </si>
  <si>
    <t>-          Velocidad de trabajo: Es un tomado de las velocidades recomendadas de trabajo.</t>
  </si>
  <si>
    <t>-          Incremento por potencia a la tdf: Se considera que la potencia aumenta un 50% con respecto a la de tracción.</t>
  </si>
  <si>
    <t>-          Potencia a la barra incluidos rodadura y deslizamiento: Es la potencia necesaria a la barra consideradas unas pérdidas por rodadura y deslizamiento del 25 %.</t>
  </si>
  <si>
    <t>-          Potencia del tractor escogido: Es la potencia del tractor seleccionado por el usuario en función de los resultados obtenidos.</t>
  </si>
  <si>
    <t>-          Horas de trabajo anuales: Se han estimado dos rangos diferentes de utilización del apero al año, baja (100 h/año) y alta (200 h/año)</t>
  </si>
  <si>
    <t>-          Amortización por desgaste: 12.000 h para el remolque de 10 t de capacidad y 6.000 para el remolque de 5 t.</t>
  </si>
  <si>
    <t>-          Amortización por obsolescencia: 20 años</t>
  </si>
  <si>
    <t>-          Seguros: 0,2 % del precio de adquisición</t>
  </si>
  <si>
    <t>-          Resguardo: 0,1 % del precio de adquisición</t>
  </si>
  <si>
    <t>-          Mantenimiento y reparaciones: 1,5 €/ha</t>
  </si>
  <si>
    <t>-          Utilización anual tractor auxiliar: Se han estimado dos rangos diferentes de trabajo, 500 y 1.000 h/año.</t>
  </si>
  <si>
    <t>-          Utilización anual apero: En función de las horas de trabajo anuales elegidas y de la capacidad de trabajo se obtiene la superficie anual trabajada por el apero en ha/año.</t>
  </si>
  <si>
    <t>-          Coste de combustible: 1,00 €/L</t>
  </si>
  <si>
    <t>-          Precio de adquisición: Estimado en 1.500 €/t de capacidad del remolque</t>
  </si>
  <si>
    <t>-          Interés: 5 %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</si>
</sst>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C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"/>
    <numFmt numFmtId="172" formatCode="0.0000"/>
    <numFmt numFmtId="173" formatCode="#,##0.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b/>
      <u val="single"/>
      <sz val="11"/>
      <color indexed="9"/>
      <name val="Arial"/>
      <family val="2"/>
    </font>
    <font>
      <sz val="11"/>
      <color indexed="22"/>
      <name val="Arial"/>
      <family val="2"/>
    </font>
    <font>
      <sz val="11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42"/>
      <name val="Arial"/>
      <family val="2"/>
    </font>
    <font>
      <sz val="11"/>
      <color indexed="42"/>
      <name val="Arial"/>
      <family val="2"/>
    </font>
    <font>
      <b/>
      <sz val="11"/>
      <color indexed="12"/>
      <name val="Arial"/>
      <family val="2"/>
    </font>
    <font>
      <b/>
      <sz val="11"/>
      <color indexed="2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0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justify" wrapText="1"/>
    </xf>
    <xf numFmtId="0" fontId="0" fillId="0" borderId="0" xfId="0" applyAlignment="1">
      <alignment horizontal="justify" wrapText="1"/>
    </xf>
    <xf numFmtId="49" fontId="4" fillId="34" borderId="0" xfId="0" applyNumberFormat="1" applyFont="1" applyFill="1" applyAlignment="1">
      <alignment horizontal="left" wrapText="1"/>
    </xf>
    <xf numFmtId="49" fontId="5" fillId="34" borderId="0" xfId="0" applyNumberFormat="1" applyFont="1" applyFill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 applyProtection="1">
      <alignment/>
      <protection locked="0"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8" fillId="34" borderId="0" xfId="0" applyFont="1" applyFill="1" applyBorder="1" applyAlignment="1">
      <alignment horizontal="left" vertical="top"/>
    </xf>
    <xf numFmtId="0" fontId="8" fillId="34" borderId="0" xfId="0" applyFont="1" applyFill="1" applyBorder="1" applyAlignment="1">
      <alignment vertical="top" wrapText="1"/>
    </xf>
    <xf numFmtId="0" fontId="8" fillId="34" borderId="0" xfId="0" applyFont="1" applyFill="1" applyBorder="1" applyAlignment="1">
      <alignment horizontal="left" vertical="top" wrapText="1"/>
    </xf>
    <xf numFmtId="0" fontId="10" fillId="34" borderId="14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1" fontId="6" fillId="33" borderId="11" xfId="0" applyNumberFormat="1" applyFont="1" applyFill="1" applyBorder="1" applyAlignment="1" applyProtection="1">
      <alignment horizontal="center"/>
      <protection hidden="1"/>
    </xf>
    <xf numFmtId="0" fontId="8" fillId="33" borderId="12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8" fillId="33" borderId="13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6" fillId="33" borderId="0" xfId="0" applyNumberFormat="1" applyFont="1" applyFill="1" applyBorder="1" applyAlignment="1" applyProtection="1">
      <alignment horizontal="center"/>
      <protection hidden="1"/>
    </xf>
    <xf numFmtId="0" fontId="8" fillId="33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33" borderId="0" xfId="0" applyFont="1" applyFill="1" applyBorder="1" applyAlignment="1" applyProtection="1">
      <alignment horizontal="center"/>
      <protection hidden="1"/>
    </xf>
    <xf numFmtId="0" fontId="6" fillId="33" borderId="13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center"/>
    </xf>
    <xf numFmtId="0" fontId="11" fillId="0" borderId="15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2" fontId="6" fillId="33" borderId="0" xfId="0" applyNumberFormat="1" applyFont="1" applyFill="1" applyBorder="1" applyAlignment="1" applyProtection="1">
      <alignment horizontal="center"/>
      <protection hidden="1"/>
    </xf>
    <xf numFmtId="0" fontId="13" fillId="33" borderId="13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2" fontId="14" fillId="33" borderId="0" xfId="0" applyNumberFormat="1" applyFont="1" applyFill="1" applyBorder="1" applyAlignment="1" applyProtection="1">
      <alignment horizontal="center"/>
      <protection hidden="1"/>
    </xf>
    <xf numFmtId="0" fontId="13" fillId="33" borderId="14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65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2" fontId="7" fillId="0" borderId="0" xfId="0" applyNumberFormat="1" applyFont="1" applyBorder="1" applyAlignment="1">
      <alignment/>
    </xf>
    <xf numFmtId="0" fontId="6" fillId="0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/>
    </xf>
    <xf numFmtId="0" fontId="6" fillId="33" borderId="16" xfId="0" applyFont="1" applyFill="1" applyBorder="1" applyAlignment="1" applyProtection="1">
      <alignment horizontal="center"/>
      <protection hidden="1"/>
    </xf>
    <xf numFmtId="0" fontId="8" fillId="33" borderId="17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35" borderId="11" xfId="0" applyFont="1" applyFill="1" applyBorder="1" applyAlignment="1" applyProtection="1">
      <alignment horizontal="center"/>
      <protection hidden="1"/>
    </xf>
    <xf numFmtId="0" fontId="6" fillId="35" borderId="12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2" fontId="6" fillId="33" borderId="11" xfId="0" applyNumberFormat="1" applyFont="1" applyFill="1" applyBorder="1" applyAlignment="1" applyProtection="1">
      <alignment horizontal="center"/>
      <protection hidden="1"/>
    </xf>
    <xf numFmtId="3" fontId="7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Border="1" applyAlignment="1" applyProtection="1">
      <alignment horizontal="center"/>
      <protection hidden="1"/>
    </xf>
    <xf numFmtId="165" fontId="6" fillId="0" borderId="15" xfId="0" applyNumberFormat="1" applyFon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 locked="0"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11" fillId="33" borderId="18" xfId="0" applyNumberFormat="1" applyFont="1" applyFill="1" applyBorder="1" applyAlignment="1" applyProtection="1">
      <alignment horizontal="center"/>
      <protection hidden="1" locked="0"/>
    </xf>
    <xf numFmtId="0" fontId="8" fillId="33" borderId="19" xfId="0" applyFont="1" applyFill="1" applyBorder="1" applyAlignment="1">
      <alignment horizontal="center"/>
    </xf>
    <xf numFmtId="164" fontId="14" fillId="33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13" fillId="33" borderId="20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164" fontId="14" fillId="33" borderId="16" xfId="0" applyNumberFormat="1" applyFont="1" applyFill="1" applyBorder="1" applyAlignment="1" applyProtection="1">
      <alignment horizontal="center"/>
      <protection hidden="1"/>
    </xf>
    <xf numFmtId="0" fontId="13" fillId="33" borderId="17" xfId="0" applyFont="1" applyFill="1" applyBorder="1" applyAlignment="1">
      <alignment horizontal="center"/>
    </xf>
    <xf numFmtId="165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/>
    </xf>
    <xf numFmtId="0" fontId="6" fillId="35" borderId="11" xfId="0" applyFont="1" applyFill="1" applyBorder="1" applyAlignment="1">
      <alignment horizontal="center"/>
    </xf>
    <xf numFmtId="0" fontId="6" fillId="35" borderId="11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165" fontId="6" fillId="34" borderId="14" xfId="0" applyNumberFormat="1" applyFont="1" applyFill="1" applyBorder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 horizontal="center"/>
      <protection hidden="1"/>
    </xf>
    <xf numFmtId="0" fontId="8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3" fontId="11" fillId="0" borderId="15" xfId="0" applyNumberFormat="1" applyFont="1" applyBorder="1" applyAlignment="1" applyProtection="1">
      <alignment horizontal="center"/>
      <protection locked="0"/>
    </xf>
    <xf numFmtId="3" fontId="6" fillId="33" borderId="0" xfId="0" applyNumberFormat="1" applyFont="1" applyFill="1" applyBorder="1" applyAlignment="1" applyProtection="1">
      <alignment horizontal="center"/>
      <protection hidden="1"/>
    </xf>
    <xf numFmtId="0" fontId="8" fillId="33" borderId="0" xfId="0" applyFont="1" applyFill="1" applyBorder="1" applyAlignment="1">
      <alignment horizontal="center"/>
    </xf>
    <xf numFmtId="3" fontId="11" fillId="33" borderId="0" xfId="0" applyNumberFormat="1" applyFont="1" applyFill="1" applyBorder="1" applyAlignment="1" applyProtection="1">
      <alignment horizontal="center"/>
      <protection locked="0"/>
    </xf>
    <xf numFmtId="0" fontId="8" fillId="33" borderId="14" xfId="0" applyFont="1" applyFill="1" applyBorder="1" applyAlignment="1">
      <alignment/>
    </xf>
    <xf numFmtId="3" fontId="11" fillId="33" borderId="0" xfId="0" applyNumberFormat="1" applyFont="1" applyFill="1" applyBorder="1" applyAlignment="1" applyProtection="1">
      <alignment horizontal="center"/>
      <protection hidden="1" locked="0"/>
    </xf>
    <xf numFmtId="0" fontId="11" fillId="33" borderId="0" xfId="0" applyFont="1" applyFill="1" applyBorder="1" applyAlignment="1" applyProtection="1">
      <alignment horizontal="center"/>
      <protection hidden="1" locked="0"/>
    </xf>
    <xf numFmtId="3" fontId="6" fillId="34" borderId="14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8" fillId="0" borderId="15" xfId="0" applyNumberFormat="1" applyFont="1" applyBorder="1" applyAlignment="1" applyProtection="1">
      <alignment horizontal="center"/>
      <protection hidden="1"/>
    </xf>
    <xf numFmtId="2" fontId="8" fillId="0" borderId="15" xfId="0" applyNumberFormat="1" applyFont="1" applyBorder="1" applyAlignment="1" applyProtection="1">
      <alignment horizontal="center"/>
      <protection hidden="1"/>
    </xf>
    <xf numFmtId="0" fontId="8" fillId="34" borderId="14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2" fontId="6" fillId="33" borderId="18" xfId="0" applyNumberFormat="1" applyFont="1" applyFill="1" applyBorder="1" applyAlignment="1" applyProtection="1">
      <alignment horizontal="center"/>
      <protection hidden="1"/>
    </xf>
    <xf numFmtId="0" fontId="8" fillId="33" borderId="19" xfId="0" applyFont="1" applyFill="1" applyBorder="1" applyAlignment="1">
      <alignment/>
    </xf>
    <xf numFmtId="3" fontId="8" fillId="34" borderId="14" xfId="0" applyNumberFormat="1" applyFont="1" applyFill="1" applyBorder="1" applyAlignment="1">
      <alignment horizontal="center"/>
    </xf>
    <xf numFmtId="1" fontId="8" fillId="34" borderId="14" xfId="0" applyNumberFormat="1" applyFont="1" applyFill="1" applyBorder="1" applyAlignment="1">
      <alignment horizontal="center"/>
    </xf>
    <xf numFmtId="0" fontId="6" fillId="33" borderId="20" xfId="0" applyFont="1" applyFill="1" applyBorder="1" applyAlignment="1">
      <alignment/>
    </xf>
    <xf numFmtId="0" fontId="8" fillId="33" borderId="16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center"/>
    </xf>
    <xf numFmtId="2" fontId="13" fillId="33" borderId="16" xfId="0" applyNumberFormat="1" applyFont="1" applyFill="1" applyBorder="1" applyAlignment="1">
      <alignment horizontal="center"/>
    </xf>
    <xf numFmtId="0" fontId="1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13" fillId="34" borderId="0" xfId="0" applyFont="1" applyFill="1" applyBorder="1" applyAlignment="1">
      <alignment/>
    </xf>
    <xf numFmtId="0" fontId="6" fillId="0" borderId="15" xfId="0" applyFont="1" applyBorder="1" applyAlignment="1">
      <alignment vertical="center" wrapText="1"/>
    </xf>
    <xf numFmtId="0" fontId="8" fillId="0" borderId="15" xfId="0" applyFont="1" applyFill="1" applyBorder="1" applyAlignment="1">
      <alignment horizontal="center"/>
    </xf>
    <xf numFmtId="0" fontId="15" fillId="34" borderId="0" xfId="0" applyFont="1" applyFill="1" applyBorder="1" applyAlignment="1">
      <alignment/>
    </xf>
    <xf numFmtId="2" fontId="6" fillId="0" borderId="15" xfId="0" applyNumberFormat="1" applyFont="1" applyBorder="1" applyAlignment="1" applyProtection="1">
      <alignment horizontal="center" vertical="center"/>
      <protection hidden="1"/>
    </xf>
    <xf numFmtId="2" fontId="8" fillId="0" borderId="15" xfId="0" applyNumberFormat="1" applyFont="1" applyFill="1" applyBorder="1" applyAlignment="1" applyProtection="1">
      <alignment horizontal="center" vertical="center"/>
      <protection hidden="1"/>
    </xf>
    <xf numFmtId="0" fontId="16" fillId="34" borderId="0" xfId="0" applyFont="1" applyFill="1" applyBorder="1" applyAlignment="1" applyProtection="1">
      <alignment/>
      <protection hidden="1"/>
    </xf>
    <xf numFmtId="0" fontId="17" fillId="0" borderId="15" xfId="0" applyFont="1" applyBorder="1" applyAlignment="1">
      <alignment horizontal="right"/>
    </xf>
    <xf numFmtId="2" fontId="8" fillId="0" borderId="15" xfId="0" applyNumberFormat="1" applyFont="1" applyBorder="1" applyAlignment="1" applyProtection="1">
      <alignment horizontal="center" vertical="center"/>
      <protection hidden="1"/>
    </xf>
    <xf numFmtId="0" fontId="8" fillId="34" borderId="0" xfId="0" applyFont="1" applyFill="1" applyBorder="1" applyAlignment="1">
      <alignment horizontal="right"/>
    </xf>
    <xf numFmtId="2" fontId="14" fillId="34" borderId="0" xfId="0" applyNumberFormat="1" applyFont="1" applyFill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6" fillId="36" borderId="15" xfId="0" applyFont="1" applyFill="1" applyBorder="1" applyAlignment="1">
      <alignment/>
    </xf>
    <xf numFmtId="4" fontId="6" fillId="0" borderId="15" xfId="0" applyNumberFormat="1" applyFont="1" applyBorder="1" applyAlignment="1" applyProtection="1">
      <alignment horizontal="center" vertical="center"/>
      <protection hidden="1"/>
    </xf>
    <xf numFmtId="0" fontId="10" fillId="34" borderId="0" xfId="0" applyFont="1" applyFill="1" applyBorder="1" applyAlignment="1">
      <alignment/>
    </xf>
    <xf numFmtId="0" fontId="18" fillId="34" borderId="0" xfId="0" applyFont="1" applyFill="1" applyBorder="1" applyAlignment="1">
      <alignment horizontal="right"/>
    </xf>
    <xf numFmtId="0" fontId="10" fillId="34" borderId="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0" fillId="34" borderId="0" xfId="0" applyNumberFormat="1" applyFont="1" applyFill="1" applyBorder="1" applyAlignment="1">
      <alignment horizontal="center"/>
    </xf>
    <xf numFmtId="0" fontId="18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6" fillId="34" borderId="20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8" fillId="34" borderId="16" xfId="0" applyFont="1" applyFill="1" applyBorder="1" applyAlignment="1">
      <alignment horizontal="right"/>
    </xf>
    <xf numFmtId="0" fontId="10" fillId="34" borderId="16" xfId="0" applyFont="1" applyFill="1" applyBorder="1" applyAlignment="1">
      <alignment horizontal="center"/>
    </xf>
    <xf numFmtId="2" fontId="10" fillId="34" borderId="16" xfId="0" applyNumberFormat="1" applyFont="1" applyFill="1" applyBorder="1" applyAlignment="1">
      <alignment horizontal="center"/>
    </xf>
    <xf numFmtId="0" fontId="18" fillId="34" borderId="16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8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13" fillId="0" borderId="0" xfId="0" applyFont="1" applyFill="1" applyAlignment="1">
      <alignment/>
    </xf>
    <xf numFmtId="0" fontId="1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15" xfId="0" applyFont="1" applyFill="1" applyBorder="1" applyAlignment="1" applyProtection="1">
      <alignment horizontal="center"/>
      <protection hidden="1"/>
    </xf>
    <xf numFmtId="0" fontId="6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21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left"/>
    </xf>
    <xf numFmtId="0" fontId="8" fillId="35" borderId="10" xfId="0" applyFont="1" applyFill="1" applyBorder="1" applyAlignment="1">
      <alignment horizontal="left"/>
    </xf>
    <xf numFmtId="0" fontId="8" fillId="35" borderId="11" xfId="0" applyFont="1" applyFill="1" applyBorder="1" applyAlignment="1">
      <alignment horizontal="left"/>
    </xf>
    <xf numFmtId="0" fontId="13" fillId="33" borderId="13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37" borderId="15" xfId="0" applyFont="1" applyFill="1" applyBorder="1" applyAlignment="1">
      <alignment horizontal="center"/>
    </xf>
    <xf numFmtId="2" fontId="12" fillId="37" borderId="15" xfId="0" applyNumberFormat="1" applyFont="1" applyFill="1" applyBorder="1" applyAlignment="1" applyProtection="1">
      <alignment horizontal="center" vertical="center"/>
      <protection hidden="1"/>
    </xf>
    <xf numFmtId="0" fontId="8" fillId="0" borderId="15" xfId="0" applyFont="1" applyBorder="1" applyAlignment="1">
      <alignment horizontal="left"/>
    </xf>
    <xf numFmtId="0" fontId="6" fillId="0" borderId="15" xfId="0" applyFont="1" applyFill="1" applyBorder="1" applyAlignment="1" applyProtection="1">
      <alignment horizontal="center"/>
      <protection/>
    </xf>
    <xf numFmtId="0" fontId="8" fillId="38" borderId="22" xfId="0" applyFont="1" applyFill="1" applyBorder="1" applyAlignment="1">
      <alignment horizontal="center"/>
    </xf>
    <xf numFmtId="0" fontId="8" fillId="38" borderId="23" xfId="0" applyFont="1" applyFill="1" applyBorder="1" applyAlignment="1">
      <alignment horizontal="center"/>
    </xf>
    <xf numFmtId="0" fontId="8" fillId="38" borderId="2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1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Relationship Id="rId2" Type="http://schemas.openxmlformats.org/officeDocument/2006/relationships/image" Target="../media/image12.emf" /><Relationship Id="rId3" Type="http://schemas.openxmlformats.org/officeDocument/2006/relationships/image" Target="../media/image17.emf" /><Relationship Id="rId4" Type="http://schemas.openxmlformats.org/officeDocument/2006/relationships/image" Target="../media/image9.emf" /><Relationship Id="rId5" Type="http://schemas.openxmlformats.org/officeDocument/2006/relationships/image" Target="../media/image11.emf" /><Relationship Id="rId6" Type="http://schemas.openxmlformats.org/officeDocument/2006/relationships/image" Target="../media/image10.emf" /><Relationship Id="rId7" Type="http://schemas.openxmlformats.org/officeDocument/2006/relationships/image" Target="../media/image5.emf" /><Relationship Id="rId8" Type="http://schemas.openxmlformats.org/officeDocument/2006/relationships/image" Target="../media/image3.emf" /><Relationship Id="rId9" Type="http://schemas.openxmlformats.org/officeDocument/2006/relationships/image" Target="../media/image4.emf" /><Relationship Id="rId10" Type="http://schemas.openxmlformats.org/officeDocument/2006/relationships/image" Target="../media/image15.emf" /><Relationship Id="rId11" Type="http://schemas.openxmlformats.org/officeDocument/2006/relationships/image" Target="../media/image14.emf" /><Relationship Id="rId12" Type="http://schemas.openxmlformats.org/officeDocument/2006/relationships/image" Target="../media/image18.emf" /><Relationship Id="rId13" Type="http://schemas.openxmlformats.org/officeDocument/2006/relationships/image" Target="../media/image2.emf" /><Relationship Id="rId14" Type="http://schemas.openxmlformats.org/officeDocument/2006/relationships/image" Target="../media/image1.emf" /><Relationship Id="rId15" Type="http://schemas.openxmlformats.org/officeDocument/2006/relationships/image" Target="../media/image19.emf" /><Relationship Id="rId16" Type="http://schemas.openxmlformats.org/officeDocument/2006/relationships/image" Target="../media/image7.emf" /><Relationship Id="rId17" Type="http://schemas.openxmlformats.org/officeDocument/2006/relationships/image" Target="../media/image6.emf" /><Relationship Id="rId18" Type="http://schemas.openxmlformats.org/officeDocument/2006/relationships/image" Target="../media/image8.emf" /><Relationship Id="rId19" Type="http://schemas.openxmlformats.org/officeDocument/2006/relationships/image" Target="../media/image2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7</xdr:row>
      <xdr:rowOff>9525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580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12</xdr:row>
      <xdr:rowOff>38100</xdr:rowOff>
    </xdr:from>
    <xdr:to>
      <xdr:col>7</xdr:col>
      <xdr:colOff>276225</xdr:colOff>
      <xdr:row>13</xdr:row>
      <xdr:rowOff>19050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21050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13</xdr:row>
      <xdr:rowOff>47625</xdr:rowOff>
    </xdr:from>
    <xdr:to>
      <xdr:col>7</xdr:col>
      <xdr:colOff>266700</xdr:colOff>
      <xdr:row>14</xdr:row>
      <xdr:rowOff>9525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33925" y="23145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20</xdr:row>
      <xdr:rowOff>28575</xdr:rowOff>
    </xdr:from>
    <xdr:to>
      <xdr:col>7</xdr:col>
      <xdr:colOff>266700</xdr:colOff>
      <xdr:row>21</xdr:row>
      <xdr:rowOff>9525</xdr:rowOff>
    </xdr:to>
    <xdr:pic>
      <xdr:nvPicPr>
        <xdr:cNvPr id="4" name="Option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24400" y="36957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21</xdr:row>
      <xdr:rowOff>38100</xdr:rowOff>
    </xdr:from>
    <xdr:to>
      <xdr:col>7</xdr:col>
      <xdr:colOff>266700</xdr:colOff>
      <xdr:row>22</xdr:row>
      <xdr:rowOff>19050</xdr:rowOff>
    </xdr:to>
    <xdr:pic>
      <xdr:nvPicPr>
        <xdr:cNvPr id="5" name="Option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24400" y="39052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22</xdr:row>
      <xdr:rowOff>47625</xdr:rowOff>
    </xdr:from>
    <xdr:to>
      <xdr:col>7</xdr:col>
      <xdr:colOff>266700</xdr:colOff>
      <xdr:row>23</xdr:row>
      <xdr:rowOff>28575</xdr:rowOff>
    </xdr:to>
    <xdr:pic>
      <xdr:nvPicPr>
        <xdr:cNvPr id="6" name="Option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24400" y="41148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25</xdr:row>
      <xdr:rowOff>19050</xdr:rowOff>
    </xdr:from>
    <xdr:to>
      <xdr:col>7</xdr:col>
      <xdr:colOff>257175</xdr:colOff>
      <xdr:row>26</xdr:row>
      <xdr:rowOff>0</xdr:rowOff>
    </xdr:to>
    <xdr:pic>
      <xdr:nvPicPr>
        <xdr:cNvPr id="7" name="Option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14875" y="46863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26</xdr:row>
      <xdr:rowOff>19050</xdr:rowOff>
    </xdr:from>
    <xdr:to>
      <xdr:col>7</xdr:col>
      <xdr:colOff>257175</xdr:colOff>
      <xdr:row>27</xdr:row>
      <xdr:rowOff>0</xdr:rowOff>
    </xdr:to>
    <xdr:pic>
      <xdr:nvPicPr>
        <xdr:cNvPr id="8" name="OptionButt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48863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27</xdr:row>
      <xdr:rowOff>38100</xdr:rowOff>
    </xdr:from>
    <xdr:to>
      <xdr:col>7</xdr:col>
      <xdr:colOff>257175</xdr:colOff>
      <xdr:row>28</xdr:row>
      <xdr:rowOff>19050</xdr:rowOff>
    </xdr:to>
    <xdr:pic>
      <xdr:nvPicPr>
        <xdr:cNvPr id="9" name="OptionButton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14875" y="51054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16</xdr:row>
      <xdr:rowOff>38100</xdr:rowOff>
    </xdr:from>
    <xdr:to>
      <xdr:col>7</xdr:col>
      <xdr:colOff>276225</xdr:colOff>
      <xdr:row>17</xdr:row>
      <xdr:rowOff>19050</xdr:rowOff>
    </xdr:to>
    <xdr:pic>
      <xdr:nvPicPr>
        <xdr:cNvPr id="10" name="OptionButton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33925" y="29051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17</xdr:row>
      <xdr:rowOff>38100</xdr:rowOff>
    </xdr:from>
    <xdr:to>
      <xdr:col>7</xdr:col>
      <xdr:colOff>276225</xdr:colOff>
      <xdr:row>18</xdr:row>
      <xdr:rowOff>19050</xdr:rowOff>
    </xdr:to>
    <xdr:pic>
      <xdr:nvPicPr>
        <xdr:cNvPr id="11" name="OptionButton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33925" y="31051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30</xdr:row>
      <xdr:rowOff>28575</xdr:rowOff>
    </xdr:from>
    <xdr:to>
      <xdr:col>7</xdr:col>
      <xdr:colOff>247650</xdr:colOff>
      <xdr:row>31</xdr:row>
      <xdr:rowOff>9525</xdr:rowOff>
    </xdr:to>
    <xdr:pic>
      <xdr:nvPicPr>
        <xdr:cNvPr id="12" name="OptionButton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05350" y="56959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31</xdr:row>
      <xdr:rowOff>28575</xdr:rowOff>
    </xdr:from>
    <xdr:to>
      <xdr:col>7</xdr:col>
      <xdr:colOff>247650</xdr:colOff>
      <xdr:row>32</xdr:row>
      <xdr:rowOff>9525</xdr:rowOff>
    </xdr:to>
    <xdr:pic>
      <xdr:nvPicPr>
        <xdr:cNvPr id="13" name="OptionButton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05350" y="58959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32</xdr:row>
      <xdr:rowOff>28575</xdr:rowOff>
    </xdr:from>
    <xdr:to>
      <xdr:col>7</xdr:col>
      <xdr:colOff>247650</xdr:colOff>
      <xdr:row>33</xdr:row>
      <xdr:rowOff>9525</xdr:rowOff>
    </xdr:to>
    <xdr:pic>
      <xdr:nvPicPr>
        <xdr:cNvPr id="14" name="Option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05350" y="60960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33</xdr:row>
      <xdr:rowOff>28575</xdr:rowOff>
    </xdr:from>
    <xdr:to>
      <xdr:col>7</xdr:col>
      <xdr:colOff>247650</xdr:colOff>
      <xdr:row>34</xdr:row>
      <xdr:rowOff>9525</xdr:rowOff>
    </xdr:to>
    <xdr:pic>
      <xdr:nvPicPr>
        <xdr:cNvPr id="15" name="OptionButton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05350" y="62960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59</xdr:row>
      <xdr:rowOff>9525</xdr:rowOff>
    </xdr:from>
    <xdr:to>
      <xdr:col>1</xdr:col>
      <xdr:colOff>257175</xdr:colOff>
      <xdr:row>59</xdr:row>
      <xdr:rowOff>161925</xdr:rowOff>
    </xdr:to>
    <xdr:pic>
      <xdr:nvPicPr>
        <xdr:cNvPr id="16" name="OptionButton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14325" y="114776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60</xdr:row>
      <xdr:rowOff>9525</xdr:rowOff>
    </xdr:from>
    <xdr:to>
      <xdr:col>1</xdr:col>
      <xdr:colOff>257175</xdr:colOff>
      <xdr:row>60</xdr:row>
      <xdr:rowOff>152400</xdr:rowOff>
    </xdr:to>
    <xdr:pic>
      <xdr:nvPicPr>
        <xdr:cNvPr id="17" name="OptionButton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14325" y="116776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44</xdr:row>
      <xdr:rowOff>19050</xdr:rowOff>
    </xdr:from>
    <xdr:to>
      <xdr:col>7</xdr:col>
      <xdr:colOff>238125</xdr:colOff>
      <xdr:row>45</xdr:row>
      <xdr:rowOff>9525</xdr:rowOff>
    </xdr:to>
    <xdr:pic>
      <xdr:nvPicPr>
        <xdr:cNvPr id="18" name="OptionButton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695825" y="84867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45</xdr:row>
      <xdr:rowOff>38100</xdr:rowOff>
    </xdr:from>
    <xdr:to>
      <xdr:col>7</xdr:col>
      <xdr:colOff>238125</xdr:colOff>
      <xdr:row>46</xdr:row>
      <xdr:rowOff>19050</xdr:rowOff>
    </xdr:to>
    <xdr:pic>
      <xdr:nvPicPr>
        <xdr:cNvPr id="19" name="OptionButton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695825" y="87058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5314950</xdr:colOff>
      <xdr:row>1</xdr:row>
      <xdr:rowOff>0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8:AG83"/>
  <sheetViews>
    <sheetView showZeros="0" tabSelected="1" zoomScalePageLayoutView="0" workbookViewId="0" topLeftCell="A4">
      <selection activeCell="B8" sqref="B8"/>
    </sheetView>
  </sheetViews>
  <sheetFormatPr defaultColWidth="11.421875" defaultRowHeight="12.75"/>
  <cols>
    <col min="1" max="1" width="2.8515625" style="6" customWidth="1"/>
    <col min="2" max="2" width="5.421875" style="6" customWidth="1"/>
    <col min="3" max="3" width="27.8515625" style="6" customWidth="1"/>
    <col min="4" max="4" width="12.7109375" style="7" customWidth="1"/>
    <col min="5" max="5" width="6.57421875" style="7" customWidth="1"/>
    <col min="6" max="6" width="7.00390625" style="6" customWidth="1"/>
    <col min="7" max="7" width="6.57421875" style="8" customWidth="1"/>
    <col min="8" max="8" width="4.140625" style="6" customWidth="1"/>
    <col min="9" max="9" width="10.7109375" style="6" customWidth="1"/>
    <col min="10" max="10" width="19.28125" style="6" customWidth="1"/>
    <col min="11" max="12" width="5.7109375" style="9" customWidth="1"/>
    <col min="13" max="13" width="15.7109375" style="10" customWidth="1"/>
    <col min="14" max="14" width="10.7109375" style="10" customWidth="1"/>
    <col min="15" max="15" width="8.140625" style="10" customWidth="1"/>
    <col min="16" max="16" width="10.421875" style="10" customWidth="1"/>
    <col min="17" max="17" width="7.140625" style="10" customWidth="1"/>
    <col min="18" max="18" width="10.421875" style="10" customWidth="1"/>
    <col min="19" max="19" width="9.57421875" style="10" customWidth="1"/>
    <col min="20" max="21" width="7.140625" style="10" customWidth="1"/>
    <col min="22" max="22" width="7.140625" style="9" customWidth="1"/>
    <col min="23" max="26" width="12.140625" style="9" customWidth="1"/>
    <col min="27" max="27" width="7.140625" style="9" customWidth="1"/>
    <col min="28" max="28" width="7.140625" style="6" customWidth="1"/>
    <col min="29" max="29" width="11.57421875" style="6" customWidth="1"/>
    <col min="30" max="30" width="11.421875" style="11" hidden="1" customWidth="1"/>
    <col min="31" max="16384" width="11.57421875" style="6" customWidth="1"/>
  </cols>
  <sheetData>
    <row r="1" ht="12" customHeight="1"/>
    <row r="2" ht="12" customHeight="1"/>
    <row r="3" ht="13.5" customHeight="1"/>
    <row r="4" ht="12" customHeight="1"/>
    <row r="5" ht="14.25"/>
    <row r="6" ht="13.5" customHeight="1"/>
    <row r="7" ht="14.25"/>
    <row r="8" spans="1:11" ht="14.25">
      <c r="A8" s="12"/>
      <c r="B8" s="13"/>
      <c r="C8" s="13"/>
      <c r="D8" s="14"/>
      <c r="E8" s="14"/>
      <c r="F8" s="13"/>
      <c r="G8" s="13"/>
      <c r="H8" s="15"/>
      <c r="I8" s="13"/>
      <c r="J8" s="13"/>
      <c r="K8" s="16"/>
    </row>
    <row r="9" spans="1:14" ht="12.75" customHeight="1">
      <c r="A9" s="17"/>
      <c r="B9" s="18"/>
      <c r="C9" s="19" t="s">
        <v>0</v>
      </c>
      <c r="D9" s="20" t="s">
        <v>74</v>
      </c>
      <c r="E9" s="21"/>
      <c r="F9" s="22"/>
      <c r="G9" s="22"/>
      <c r="H9" s="23"/>
      <c r="I9" s="18"/>
      <c r="J9" s="18"/>
      <c r="K9" s="24"/>
      <c r="M9" s="173" t="s">
        <v>90</v>
      </c>
      <c r="N9" s="174"/>
    </row>
    <row r="10" spans="1:13" ht="12.75" customHeight="1">
      <c r="A10" s="17"/>
      <c r="B10" s="18"/>
      <c r="C10" s="19" t="s">
        <v>1</v>
      </c>
      <c r="D10" s="26" t="s">
        <v>75</v>
      </c>
      <c r="E10" s="27"/>
      <c r="F10" s="27"/>
      <c r="G10" s="28"/>
      <c r="H10" s="18"/>
      <c r="I10" s="18"/>
      <c r="J10" s="18"/>
      <c r="K10" s="29"/>
      <c r="M10" s="30"/>
    </row>
    <row r="11" spans="1:30" ht="15.75" customHeight="1">
      <c r="A11" s="17"/>
      <c r="B11" s="18"/>
      <c r="C11" s="18"/>
      <c r="D11" s="27"/>
      <c r="E11" s="27"/>
      <c r="F11" s="27"/>
      <c r="G11" s="28"/>
      <c r="H11" s="18"/>
      <c r="I11" s="18"/>
      <c r="J11" s="18"/>
      <c r="K11" s="29"/>
      <c r="M11" s="30"/>
      <c r="AD11" s="11" t="b">
        <v>1</v>
      </c>
    </row>
    <row r="12" spans="1:33" ht="15.75" customHeight="1">
      <c r="A12" s="17"/>
      <c r="B12" s="184" t="s">
        <v>76</v>
      </c>
      <c r="C12" s="185"/>
      <c r="D12" s="31">
        <f>IF(AD11=TRUE,J13,IF(AD12=TRUE,J14,))</f>
        <v>5</v>
      </c>
      <c r="E12" s="32" t="s">
        <v>77</v>
      </c>
      <c r="F12" s="18"/>
      <c r="G12" s="18"/>
      <c r="H12" s="23"/>
      <c r="I12" s="176" t="s">
        <v>79</v>
      </c>
      <c r="J12" s="176"/>
      <c r="K12" s="34"/>
      <c r="M12" s="30"/>
      <c r="AD12" s="11" t="b">
        <v>0</v>
      </c>
      <c r="AG12" s="35"/>
    </row>
    <row r="13" spans="1:13" ht="15.75" customHeight="1">
      <c r="A13" s="17"/>
      <c r="B13" s="180" t="s">
        <v>78</v>
      </c>
      <c r="C13" s="181"/>
      <c r="D13" s="38">
        <f>IF(AD15=TRUE,J17,IF(AD16=TRUE,J18))</f>
        <v>4</v>
      </c>
      <c r="E13" s="39" t="s">
        <v>4</v>
      </c>
      <c r="F13" s="18"/>
      <c r="G13" s="18"/>
      <c r="H13" s="40"/>
      <c r="I13" s="41" t="s">
        <v>2</v>
      </c>
      <c r="J13" s="33">
        <v>5</v>
      </c>
      <c r="K13" s="34"/>
      <c r="M13" s="30"/>
    </row>
    <row r="14" spans="1:13" ht="15.75" customHeight="1">
      <c r="A14" s="17"/>
      <c r="B14" s="180" t="s">
        <v>51</v>
      </c>
      <c r="C14" s="181"/>
      <c r="D14" s="42">
        <v>2.5</v>
      </c>
      <c r="E14" s="39" t="s">
        <v>77</v>
      </c>
      <c r="F14" s="18"/>
      <c r="G14" s="18"/>
      <c r="H14" s="40"/>
      <c r="I14" s="41" t="s">
        <v>5</v>
      </c>
      <c r="J14" s="33">
        <v>10</v>
      </c>
      <c r="K14" s="34"/>
      <c r="M14" s="30"/>
    </row>
    <row r="15" spans="1:30" ht="15.75" customHeight="1">
      <c r="A15" s="17"/>
      <c r="B15" s="43"/>
      <c r="C15" s="44"/>
      <c r="D15" s="42"/>
      <c r="E15" s="45"/>
      <c r="F15" s="18"/>
      <c r="G15" s="18"/>
      <c r="H15" s="23"/>
      <c r="I15" s="18"/>
      <c r="J15" s="21"/>
      <c r="K15" s="34"/>
      <c r="M15" s="30"/>
      <c r="AD15" s="11" t="b">
        <v>0</v>
      </c>
    </row>
    <row r="16" spans="1:33" ht="15.75" customHeight="1">
      <c r="A16" s="17"/>
      <c r="B16" s="180" t="s">
        <v>49</v>
      </c>
      <c r="C16" s="181"/>
      <c r="D16" s="42">
        <v>5</v>
      </c>
      <c r="E16" s="39" t="s">
        <v>6</v>
      </c>
      <c r="F16" s="18"/>
      <c r="G16" s="18"/>
      <c r="H16" s="23"/>
      <c r="I16" s="176" t="s">
        <v>80</v>
      </c>
      <c r="J16" s="176"/>
      <c r="K16" s="24"/>
      <c r="M16" s="30"/>
      <c r="AC16" s="11"/>
      <c r="AD16" s="11" t="b">
        <v>1</v>
      </c>
      <c r="AG16" s="35"/>
    </row>
    <row r="17" spans="1:30" ht="15.75" customHeight="1">
      <c r="A17" s="17"/>
      <c r="B17" s="180" t="s">
        <v>59</v>
      </c>
      <c r="C17" s="181"/>
      <c r="D17" s="42">
        <v>0.2</v>
      </c>
      <c r="E17" s="39"/>
      <c r="F17" s="18"/>
      <c r="G17" s="18"/>
      <c r="H17" s="40"/>
      <c r="I17" s="41" t="s">
        <v>2</v>
      </c>
      <c r="J17" s="46">
        <v>2</v>
      </c>
      <c r="K17" s="34"/>
      <c r="M17" s="30"/>
      <c r="AD17" s="11" t="b">
        <v>0</v>
      </c>
    </row>
    <row r="18" spans="1:13" ht="15.75" customHeight="1">
      <c r="A18" s="17"/>
      <c r="B18" s="180" t="s">
        <v>50</v>
      </c>
      <c r="C18" s="181"/>
      <c r="D18" s="38">
        <f>(D12+D14)*1000*D17*9.8*D16/3600</f>
        <v>20.41666666666667</v>
      </c>
      <c r="E18" s="39" t="s">
        <v>41</v>
      </c>
      <c r="F18" s="18"/>
      <c r="G18" s="18"/>
      <c r="H18" s="40"/>
      <c r="I18" s="41" t="s">
        <v>5</v>
      </c>
      <c r="J18" s="46">
        <v>4</v>
      </c>
      <c r="K18" s="34"/>
      <c r="M18" s="30"/>
    </row>
    <row r="19" spans="1:11" ht="15.75" customHeight="1">
      <c r="A19" s="17"/>
      <c r="B19" s="180" t="s">
        <v>63</v>
      </c>
      <c r="C19" s="181"/>
      <c r="D19" s="38">
        <v>50</v>
      </c>
      <c r="E19" s="39" t="s">
        <v>13</v>
      </c>
      <c r="F19" s="18"/>
      <c r="G19" s="18"/>
      <c r="H19" s="23"/>
      <c r="I19" s="18"/>
      <c r="J19" s="18"/>
      <c r="K19" s="34"/>
    </row>
    <row r="20" spans="1:30" ht="15.75" customHeight="1">
      <c r="A20" s="17"/>
      <c r="B20" s="180" t="s">
        <v>57</v>
      </c>
      <c r="C20" s="181"/>
      <c r="D20" s="38">
        <f>D18*(1+D19/100)</f>
        <v>30.625000000000007</v>
      </c>
      <c r="E20" s="39" t="s">
        <v>41</v>
      </c>
      <c r="F20" s="18"/>
      <c r="G20" s="18"/>
      <c r="H20" s="23"/>
      <c r="I20" s="176" t="s">
        <v>7</v>
      </c>
      <c r="J20" s="176"/>
      <c r="K20" s="34"/>
      <c r="L20" s="47"/>
      <c r="AC20" s="48"/>
      <c r="AD20" s="11" t="b">
        <v>0</v>
      </c>
    </row>
    <row r="21" spans="1:30" ht="15.75" customHeight="1">
      <c r="A21" s="17"/>
      <c r="B21" s="36"/>
      <c r="C21" s="37"/>
      <c r="D21" s="38">
        <f>D20*1.36</f>
        <v>41.65000000000001</v>
      </c>
      <c r="E21" s="39" t="s">
        <v>12</v>
      </c>
      <c r="F21" s="18"/>
      <c r="G21" s="18"/>
      <c r="H21" s="40"/>
      <c r="I21" s="41" t="s">
        <v>2</v>
      </c>
      <c r="J21" s="33">
        <v>0.6</v>
      </c>
      <c r="K21" s="34"/>
      <c r="L21" s="47"/>
      <c r="M21" s="30"/>
      <c r="AD21" s="11" t="b">
        <v>1</v>
      </c>
    </row>
    <row r="22" spans="1:30" ht="15.75" customHeight="1">
      <c r="A22" s="17"/>
      <c r="B22" s="180" t="s">
        <v>82</v>
      </c>
      <c r="C22" s="181"/>
      <c r="D22" s="38">
        <f>D21/0.75</f>
        <v>55.53333333333335</v>
      </c>
      <c r="E22" s="39" t="s">
        <v>12</v>
      </c>
      <c r="F22" s="18"/>
      <c r="G22" s="18"/>
      <c r="H22" s="40"/>
      <c r="I22" s="41" t="s">
        <v>3</v>
      </c>
      <c r="J22" s="33">
        <v>0.7</v>
      </c>
      <c r="K22" s="34"/>
      <c r="L22" s="47"/>
      <c r="M22" s="193" t="s">
        <v>72</v>
      </c>
      <c r="N22" s="193"/>
      <c r="T22" s="49"/>
      <c r="U22" s="49"/>
      <c r="V22" s="50"/>
      <c r="W22" s="50"/>
      <c r="X22" s="50"/>
      <c r="Y22" s="50"/>
      <c r="Z22" s="50"/>
      <c r="AD22" s="11" t="b">
        <v>0</v>
      </c>
    </row>
    <row r="23" spans="1:13" ht="15.75" customHeight="1">
      <c r="A23" s="17"/>
      <c r="B23" s="43"/>
      <c r="C23" s="44"/>
      <c r="D23" s="38"/>
      <c r="E23" s="39"/>
      <c r="F23" s="18"/>
      <c r="G23" s="18"/>
      <c r="H23" s="40"/>
      <c r="I23" s="41" t="s">
        <v>5</v>
      </c>
      <c r="J23" s="33">
        <v>0.8</v>
      </c>
      <c r="K23" s="34"/>
      <c r="L23" s="47"/>
      <c r="M23" s="30"/>
    </row>
    <row r="24" spans="1:19" ht="15.75" customHeight="1">
      <c r="A24" s="17"/>
      <c r="B24" s="180" t="s">
        <v>69</v>
      </c>
      <c r="C24" s="181"/>
      <c r="D24" s="51">
        <f>10/(D16*D13)</f>
        <v>0.5</v>
      </c>
      <c r="E24" s="39" t="s">
        <v>8</v>
      </c>
      <c r="F24" s="18"/>
      <c r="G24" s="18"/>
      <c r="H24" s="23"/>
      <c r="I24" s="18"/>
      <c r="J24" s="18"/>
      <c r="K24" s="34"/>
      <c r="M24" s="30"/>
      <c r="S24" s="49"/>
    </row>
    <row r="25" spans="1:19" ht="15.75" customHeight="1">
      <c r="A25" s="17"/>
      <c r="B25" s="180" t="s">
        <v>9</v>
      </c>
      <c r="C25" s="181"/>
      <c r="D25" s="42">
        <f>IF(AD20=TRUE,J21,IF(AD21=TRUE,J22,IF(AD22=TRUE,J23)))</f>
        <v>0.7</v>
      </c>
      <c r="E25" s="45"/>
      <c r="F25" s="18"/>
      <c r="G25" s="18"/>
      <c r="H25" s="23"/>
      <c r="I25" s="176" t="s">
        <v>11</v>
      </c>
      <c r="J25" s="176"/>
      <c r="K25" s="24"/>
      <c r="L25" s="47"/>
      <c r="M25" s="177" t="s">
        <v>55</v>
      </c>
      <c r="N25" s="177"/>
      <c r="R25" s="49"/>
      <c r="S25" s="49"/>
    </row>
    <row r="26" spans="1:30" ht="15.75" customHeight="1">
      <c r="A26" s="17"/>
      <c r="B26" s="190" t="s">
        <v>70</v>
      </c>
      <c r="C26" s="191"/>
      <c r="D26" s="54">
        <f>D24/D25</f>
        <v>0.7142857142857143</v>
      </c>
      <c r="E26" s="55" t="s">
        <v>8</v>
      </c>
      <c r="F26" s="18"/>
      <c r="G26" s="18"/>
      <c r="H26" s="40"/>
      <c r="I26" s="41" t="s">
        <v>60</v>
      </c>
      <c r="J26" s="33">
        <v>25</v>
      </c>
      <c r="K26" s="34"/>
      <c r="L26" s="47"/>
      <c r="M26" s="30"/>
      <c r="N26" s="10" t="s">
        <v>52</v>
      </c>
      <c r="R26" s="49"/>
      <c r="AD26" s="11" t="b">
        <v>0</v>
      </c>
    </row>
    <row r="27" spans="1:30" ht="15.75" customHeight="1">
      <c r="A27" s="17"/>
      <c r="B27" s="56"/>
      <c r="C27" s="57"/>
      <c r="D27" s="54">
        <f>1/D26</f>
        <v>1.4</v>
      </c>
      <c r="E27" s="55" t="s">
        <v>10</v>
      </c>
      <c r="F27" s="18"/>
      <c r="G27" s="18"/>
      <c r="H27" s="40"/>
      <c r="I27" s="41" t="s">
        <v>61</v>
      </c>
      <c r="J27" s="33">
        <v>50</v>
      </c>
      <c r="K27" s="34"/>
      <c r="L27" s="47"/>
      <c r="M27" s="25" t="s">
        <v>53</v>
      </c>
      <c r="N27" s="30" t="s">
        <v>81</v>
      </c>
      <c r="R27" s="49"/>
      <c r="AD27" s="11" t="b">
        <v>1</v>
      </c>
    </row>
    <row r="28" spans="1:30" ht="15.75" customHeight="1">
      <c r="A28" s="17"/>
      <c r="B28" s="56"/>
      <c r="C28" s="58"/>
      <c r="D28" s="42"/>
      <c r="E28" s="45"/>
      <c r="F28" s="18"/>
      <c r="G28" s="18"/>
      <c r="H28" s="40"/>
      <c r="I28" s="41" t="s">
        <v>62</v>
      </c>
      <c r="J28" s="33">
        <v>75</v>
      </c>
      <c r="K28" s="34"/>
      <c r="L28" s="47"/>
      <c r="M28" s="30" t="s">
        <v>54</v>
      </c>
      <c r="N28" s="30" t="s">
        <v>73</v>
      </c>
      <c r="R28" s="49"/>
      <c r="T28" s="49"/>
      <c r="U28" s="49"/>
      <c r="V28" s="50"/>
      <c r="W28" s="50"/>
      <c r="X28" s="50"/>
      <c r="Y28" s="50"/>
      <c r="Z28" s="50"/>
      <c r="AD28" s="11" t="b">
        <v>0</v>
      </c>
    </row>
    <row r="29" spans="1:29" ht="15.75" customHeight="1">
      <c r="A29" s="17"/>
      <c r="B29" s="180" t="s">
        <v>56</v>
      </c>
      <c r="C29" s="181"/>
      <c r="D29" s="42">
        <f>IF(AD26=TRUE,J26,IF(AD27=TRUE,J27,IF(AD28=TRUE,J28)))</f>
        <v>50</v>
      </c>
      <c r="E29" s="39" t="s">
        <v>13</v>
      </c>
      <c r="F29" s="18"/>
      <c r="G29" s="18"/>
      <c r="H29" s="23"/>
      <c r="I29" s="18"/>
      <c r="J29" s="18"/>
      <c r="K29" s="34"/>
      <c r="L29" s="47"/>
      <c r="M29" s="59"/>
      <c r="N29" s="59"/>
      <c r="O29" s="60"/>
      <c r="P29" s="60"/>
      <c r="Q29" s="60"/>
      <c r="T29" s="49"/>
      <c r="U29" s="49"/>
      <c r="V29" s="50"/>
      <c r="W29" s="50"/>
      <c r="X29" s="50"/>
      <c r="Y29" s="50"/>
      <c r="Z29" s="50"/>
      <c r="AB29" s="9"/>
      <c r="AC29" s="9"/>
    </row>
    <row r="30" spans="1:29" ht="15.75" customHeight="1">
      <c r="A30" s="17"/>
      <c r="B30" s="180" t="s">
        <v>14</v>
      </c>
      <c r="C30" s="181"/>
      <c r="D30" s="38">
        <f>D22*100/D29</f>
        <v>111.06666666666669</v>
      </c>
      <c r="E30" s="39" t="s">
        <v>12</v>
      </c>
      <c r="F30" s="18"/>
      <c r="G30" s="18"/>
      <c r="H30" s="23"/>
      <c r="I30" s="176" t="s">
        <v>15</v>
      </c>
      <c r="J30" s="176"/>
      <c r="K30" s="24"/>
      <c r="L30" s="47"/>
      <c r="T30" s="61"/>
      <c r="U30" s="61"/>
      <c r="V30" s="50"/>
      <c r="W30" s="50"/>
      <c r="X30" s="50"/>
      <c r="Y30" s="50"/>
      <c r="Z30" s="50"/>
      <c r="AB30" s="9"/>
      <c r="AC30" s="9"/>
    </row>
    <row r="31" spans="1:30" ht="15.75" customHeight="1">
      <c r="A31" s="17"/>
      <c r="B31" s="43"/>
      <c r="C31" s="44"/>
      <c r="D31" s="42"/>
      <c r="E31" s="45"/>
      <c r="F31" s="18"/>
      <c r="G31" s="18"/>
      <c r="H31" s="40"/>
      <c r="I31" s="62" t="s">
        <v>58</v>
      </c>
      <c r="J31" s="63">
        <v>90</v>
      </c>
      <c r="K31" s="34"/>
      <c r="L31" s="47"/>
      <c r="M31" s="178" t="s">
        <v>92</v>
      </c>
      <c r="N31" s="178"/>
      <c r="O31" s="178"/>
      <c r="P31" s="60"/>
      <c r="Q31" s="60"/>
      <c r="R31" s="60"/>
      <c r="V31" s="50"/>
      <c r="W31" s="50"/>
      <c r="X31" s="50"/>
      <c r="Y31" s="50"/>
      <c r="Z31" s="50"/>
      <c r="AA31" s="50"/>
      <c r="AB31" s="50"/>
      <c r="AC31" s="50"/>
      <c r="AD31" s="64"/>
    </row>
    <row r="32" spans="1:30" ht="15.75" customHeight="1">
      <c r="A32" s="17"/>
      <c r="B32" s="180" t="s">
        <v>83</v>
      </c>
      <c r="C32" s="181"/>
      <c r="D32" s="42" t="str">
        <f>IF(AD32=TRUE,"Pequeño",IF(AD33=TRUE,"Mediano",IF(AD34=TRUE,"Grande",IF(AD35=TRUE,"Muy Grande",))))</f>
        <v>Mediano</v>
      </c>
      <c r="E32" s="39"/>
      <c r="F32" s="18"/>
      <c r="G32" s="18"/>
      <c r="H32" s="40"/>
      <c r="I32" s="41" t="s">
        <v>16</v>
      </c>
      <c r="J32" s="33">
        <v>120</v>
      </c>
      <c r="K32" s="34"/>
      <c r="L32" s="47"/>
      <c r="M32" s="179" t="s">
        <v>84</v>
      </c>
      <c r="N32" s="65">
        <f>D33</f>
        <v>120</v>
      </c>
      <c r="O32" s="60" t="s">
        <v>12</v>
      </c>
      <c r="P32" s="60"/>
      <c r="Q32" s="60"/>
      <c r="R32" s="60"/>
      <c r="AA32" s="50"/>
      <c r="AB32" s="50"/>
      <c r="AC32" s="50"/>
      <c r="AD32" s="64" t="b">
        <v>0</v>
      </c>
    </row>
    <row r="33" spans="1:30" ht="15.75" customHeight="1">
      <c r="A33" s="17"/>
      <c r="B33" s="186" t="s">
        <v>84</v>
      </c>
      <c r="C33" s="187"/>
      <c r="D33" s="66">
        <f>IF(AD32=TRUE,J31,IF(AD33=TRUE,J32,IF(AD34=TRUE,J33,IF(AD35=TRUE,J34,""))))</f>
        <v>120</v>
      </c>
      <c r="E33" s="67" t="s">
        <v>12</v>
      </c>
      <c r="F33" s="18"/>
      <c r="G33" s="18"/>
      <c r="H33" s="40"/>
      <c r="I33" s="41" t="s">
        <v>17</v>
      </c>
      <c r="J33" s="33">
        <v>150</v>
      </c>
      <c r="K33" s="34"/>
      <c r="M33" s="179"/>
      <c r="N33" s="68">
        <f>N32/1.36</f>
        <v>88.23529411764706</v>
      </c>
      <c r="O33" s="60" t="s">
        <v>41</v>
      </c>
      <c r="P33" s="69"/>
      <c r="Q33" s="171" t="s">
        <v>93</v>
      </c>
      <c r="R33" s="171"/>
      <c r="AA33" s="50"/>
      <c r="AB33" s="50"/>
      <c r="AC33" s="50"/>
      <c r="AD33" s="11" t="b">
        <v>1</v>
      </c>
    </row>
    <row r="34" spans="1:30" ht="15.75" customHeight="1">
      <c r="A34" s="17"/>
      <c r="B34" s="18"/>
      <c r="C34" s="18"/>
      <c r="D34" s="70"/>
      <c r="E34" s="21"/>
      <c r="F34" s="18"/>
      <c r="G34" s="18"/>
      <c r="H34" s="40"/>
      <c r="I34" s="41" t="s">
        <v>18</v>
      </c>
      <c r="J34" s="33">
        <v>180</v>
      </c>
      <c r="K34" s="34"/>
      <c r="L34" s="47"/>
      <c r="M34" s="172" t="s">
        <v>94</v>
      </c>
      <c r="N34" s="65">
        <f>+I60</f>
        <v>560</v>
      </c>
      <c r="O34" s="10" t="s">
        <v>44</v>
      </c>
      <c r="P34" s="60"/>
      <c r="Q34" s="171"/>
      <c r="R34" s="171"/>
      <c r="AA34" s="50"/>
      <c r="AB34" s="50"/>
      <c r="AC34" s="50"/>
      <c r="AD34" s="11" t="b">
        <v>0</v>
      </c>
    </row>
    <row r="35" spans="1:30" ht="15.75" customHeight="1">
      <c r="A35" s="17"/>
      <c r="B35" s="188" t="s">
        <v>64</v>
      </c>
      <c r="C35" s="189"/>
      <c r="D35" s="71"/>
      <c r="E35" s="72"/>
      <c r="F35" s="18"/>
      <c r="G35" s="18"/>
      <c r="H35" s="23"/>
      <c r="I35" s="18"/>
      <c r="J35" s="18"/>
      <c r="K35" s="24"/>
      <c r="L35" s="47"/>
      <c r="M35" s="172"/>
      <c r="N35" s="73">
        <f>N33*N34</f>
        <v>49411.76470588235</v>
      </c>
      <c r="O35" s="10" t="s">
        <v>26</v>
      </c>
      <c r="P35" s="60"/>
      <c r="Q35" s="68" t="s">
        <v>24</v>
      </c>
      <c r="R35" s="74" t="s">
        <v>95</v>
      </c>
      <c r="AD35" s="11" t="b">
        <v>0</v>
      </c>
    </row>
    <row r="36" spans="1:26" ht="15.75" customHeight="1">
      <c r="A36" s="17"/>
      <c r="B36" s="184" t="s">
        <v>19</v>
      </c>
      <c r="C36" s="185"/>
      <c r="D36" s="75">
        <f>IF(D29=J26,J38*D33/1.36,IF(D29=J27,J39*D33/1.36,IF(D29=J28,J40*D33/1.36)))</f>
        <v>13.235294117647058</v>
      </c>
      <c r="E36" s="32" t="s">
        <v>48</v>
      </c>
      <c r="F36" s="18"/>
      <c r="G36" s="18"/>
      <c r="H36" s="23"/>
      <c r="I36" s="176" t="s">
        <v>20</v>
      </c>
      <c r="J36" s="176"/>
      <c r="K36" s="34"/>
      <c r="L36" s="47"/>
      <c r="M36" s="172" t="s">
        <v>96</v>
      </c>
      <c r="N36" s="76">
        <v>12000</v>
      </c>
      <c r="O36" s="10" t="s">
        <v>42</v>
      </c>
      <c r="P36" s="60"/>
      <c r="Q36" s="73">
        <v>500</v>
      </c>
      <c r="R36" s="68">
        <f>$N$35/$N$36+$N$35/($N$37*Q36)+($N$35*$N$38*0.6)/(Q36*100)+($N$35*(($N$40+$N$39)/(Q36*100)))+$N$33*$N$42*$N$41</f>
        <v>14.967058823529412</v>
      </c>
      <c r="V36" s="77"/>
      <c r="W36" s="77"/>
      <c r="X36" s="77"/>
      <c r="Y36" s="77"/>
      <c r="Z36" s="77"/>
    </row>
    <row r="37" spans="1:26" ht="15.75" customHeight="1">
      <c r="A37" s="17"/>
      <c r="B37" s="43"/>
      <c r="C37" s="44"/>
      <c r="D37" s="51">
        <f>D36*D26</f>
        <v>9.453781512605042</v>
      </c>
      <c r="E37" s="39" t="s">
        <v>67</v>
      </c>
      <c r="F37" s="18"/>
      <c r="G37" s="18"/>
      <c r="H37" s="23"/>
      <c r="I37" s="41" t="s">
        <v>22</v>
      </c>
      <c r="J37" s="63" t="s">
        <v>71</v>
      </c>
      <c r="K37" s="34"/>
      <c r="L37" s="47"/>
      <c r="M37" s="172"/>
      <c r="N37" s="30">
        <v>20</v>
      </c>
      <c r="O37" s="10" t="s">
        <v>31</v>
      </c>
      <c r="P37" s="60"/>
      <c r="Q37" s="73">
        <v>1000</v>
      </c>
      <c r="R37" s="68">
        <f>$N$35/$N$36+$N$35/($N$37*Q37)+($N$35*$N$38*0.6)/(Q37*100)+($N$35*(($N$40+$N$39)/(Q37*100)))+$N$33*$N$42*$N$41</f>
        <v>10.865882352941176</v>
      </c>
      <c r="V37" s="78"/>
      <c r="W37" s="78"/>
      <c r="X37" s="78"/>
      <c r="Y37" s="78"/>
      <c r="Z37" s="78"/>
    </row>
    <row r="38" spans="1:26" ht="15.75" customHeight="1">
      <c r="A38" s="17"/>
      <c r="B38" s="180" t="s">
        <v>21</v>
      </c>
      <c r="C38" s="181"/>
      <c r="D38" s="79">
        <f>D36*0.1/100</f>
        <v>0.013235294117647059</v>
      </c>
      <c r="E38" s="39" t="s">
        <v>48</v>
      </c>
      <c r="F38" s="18"/>
      <c r="G38" s="18"/>
      <c r="H38" s="18"/>
      <c r="I38" s="41" t="s">
        <v>2</v>
      </c>
      <c r="J38" s="80">
        <v>0.1</v>
      </c>
      <c r="K38" s="34"/>
      <c r="M38" s="25" t="s">
        <v>97</v>
      </c>
      <c r="N38" s="81">
        <f>+D51</f>
        <v>5</v>
      </c>
      <c r="O38" s="10" t="s">
        <v>13</v>
      </c>
      <c r="P38" s="60"/>
      <c r="Q38" s="60"/>
      <c r="R38" s="60"/>
      <c r="V38" s="82"/>
      <c r="W38" s="82"/>
      <c r="X38" s="82"/>
      <c r="Y38" s="82"/>
      <c r="Z38" s="82"/>
    </row>
    <row r="39" spans="1:29" ht="15.75" customHeight="1">
      <c r="A39" s="17"/>
      <c r="B39" s="56"/>
      <c r="C39" s="58"/>
      <c r="D39" s="79">
        <f>D37*0.1/100</f>
        <v>0.009453781512605043</v>
      </c>
      <c r="E39" s="39" t="s">
        <v>67</v>
      </c>
      <c r="F39" s="18"/>
      <c r="G39" s="18"/>
      <c r="H39" s="18"/>
      <c r="I39" s="41" t="s">
        <v>3</v>
      </c>
      <c r="J39" s="80">
        <v>0.15</v>
      </c>
      <c r="K39" s="34"/>
      <c r="M39" s="25" t="s">
        <v>45</v>
      </c>
      <c r="N39" s="81">
        <v>0.2</v>
      </c>
      <c r="O39" s="10" t="s">
        <v>13</v>
      </c>
      <c r="P39" s="60"/>
      <c r="Q39" s="60"/>
      <c r="R39" s="60"/>
      <c r="V39" s="47"/>
      <c r="W39" s="47"/>
      <c r="X39" s="47"/>
      <c r="Y39" s="47"/>
      <c r="Z39" s="47"/>
      <c r="AA39" s="77"/>
      <c r="AB39" s="77"/>
      <c r="AC39" s="83"/>
    </row>
    <row r="40" spans="1:28" ht="15.75" customHeight="1" thickBot="1">
      <c r="A40" s="17"/>
      <c r="B40" s="182" t="s">
        <v>66</v>
      </c>
      <c r="C40" s="183"/>
      <c r="D40" s="84">
        <v>1</v>
      </c>
      <c r="E40" s="85" t="s">
        <v>43</v>
      </c>
      <c r="F40" s="18"/>
      <c r="G40" s="18"/>
      <c r="H40" s="18"/>
      <c r="I40" s="41" t="s">
        <v>5</v>
      </c>
      <c r="J40" s="80">
        <v>0.207</v>
      </c>
      <c r="K40" s="34"/>
      <c r="L40" s="47"/>
      <c r="M40" s="25" t="s">
        <v>46</v>
      </c>
      <c r="N40" s="81">
        <v>0.1</v>
      </c>
      <c r="O40" s="10" t="s">
        <v>13</v>
      </c>
      <c r="P40" s="60"/>
      <c r="Q40" s="60"/>
      <c r="R40" s="60"/>
      <c r="V40" s="82"/>
      <c r="W40" s="82"/>
      <c r="X40" s="82"/>
      <c r="Y40" s="82"/>
      <c r="Z40" s="82"/>
      <c r="AA40" s="78"/>
      <c r="AB40" s="78"/>
    </row>
    <row r="41" spans="1:28" ht="15.75" customHeight="1" thickTop="1">
      <c r="A41" s="17"/>
      <c r="B41" s="52" t="s">
        <v>68</v>
      </c>
      <c r="C41" s="53"/>
      <c r="D41" s="86">
        <f>D40*D36</f>
        <v>13.235294117647058</v>
      </c>
      <c r="E41" s="55" t="s">
        <v>29</v>
      </c>
      <c r="F41" s="18"/>
      <c r="G41" s="18"/>
      <c r="H41" s="18"/>
      <c r="I41" s="18"/>
      <c r="J41" s="18"/>
      <c r="K41" s="24"/>
      <c r="L41" s="47"/>
      <c r="M41" s="87" t="s">
        <v>98</v>
      </c>
      <c r="N41" s="81">
        <v>0.2</v>
      </c>
      <c r="O41" s="88" t="s">
        <v>43</v>
      </c>
      <c r="P41" s="60"/>
      <c r="Q41" s="60"/>
      <c r="R41" s="60"/>
      <c r="V41" s="82"/>
      <c r="W41" s="82"/>
      <c r="X41" s="82"/>
      <c r="Y41" s="82"/>
      <c r="Z41" s="82"/>
      <c r="AA41" s="82"/>
      <c r="AB41" s="82"/>
    </row>
    <row r="42" spans="1:28" ht="15.75" customHeight="1">
      <c r="A42" s="17"/>
      <c r="B42" s="89"/>
      <c r="C42" s="90"/>
      <c r="D42" s="91">
        <f>D37*D40</f>
        <v>9.453781512605042</v>
      </c>
      <c r="E42" s="92" t="s">
        <v>37</v>
      </c>
      <c r="F42" s="18"/>
      <c r="G42" s="18"/>
      <c r="H42" s="18"/>
      <c r="I42" s="18"/>
      <c r="J42" s="18"/>
      <c r="K42" s="34"/>
      <c r="L42" s="47"/>
      <c r="M42" s="87" t="s">
        <v>99</v>
      </c>
      <c r="N42" s="93">
        <v>0.15</v>
      </c>
      <c r="O42" s="94" t="s">
        <v>47</v>
      </c>
      <c r="P42" s="60"/>
      <c r="Q42" s="60"/>
      <c r="R42" s="60"/>
      <c r="V42" s="82"/>
      <c r="W42" s="82"/>
      <c r="X42" s="82"/>
      <c r="Y42" s="82"/>
      <c r="Z42" s="82"/>
      <c r="AA42" s="47"/>
      <c r="AB42" s="47"/>
    </row>
    <row r="43" spans="1:28" ht="15.75" customHeight="1">
      <c r="A43" s="17"/>
      <c r="B43" s="18"/>
      <c r="C43" s="18"/>
      <c r="D43" s="70"/>
      <c r="E43" s="21"/>
      <c r="F43" s="18"/>
      <c r="G43" s="18"/>
      <c r="H43" s="18"/>
      <c r="I43" s="18"/>
      <c r="J43" s="18"/>
      <c r="K43" s="34"/>
      <c r="L43" s="47"/>
      <c r="V43" s="82"/>
      <c r="W43" s="82"/>
      <c r="X43" s="82"/>
      <c r="Y43" s="82"/>
      <c r="Z43" s="82"/>
      <c r="AA43" s="82"/>
      <c r="AB43" s="82"/>
    </row>
    <row r="44" spans="1:28" ht="15.75" customHeight="1">
      <c r="A44" s="17"/>
      <c r="B44" s="188" t="s">
        <v>65</v>
      </c>
      <c r="C44" s="189"/>
      <c r="D44" s="71"/>
      <c r="E44" s="95"/>
      <c r="F44" s="96"/>
      <c r="G44" s="97"/>
      <c r="H44" s="18"/>
      <c r="I44" s="176" t="s">
        <v>89</v>
      </c>
      <c r="J44" s="176"/>
      <c r="K44" s="98"/>
      <c r="AA44" s="82"/>
      <c r="AB44" s="82"/>
    </row>
    <row r="45" spans="1:28" ht="15.75" customHeight="1">
      <c r="A45" s="17"/>
      <c r="B45" s="184" t="s">
        <v>23</v>
      </c>
      <c r="C45" s="185"/>
      <c r="D45" s="99">
        <f>IF(AD47=TRUE,J45,J46)</f>
        <v>100</v>
      </c>
      <c r="E45" s="100" t="s">
        <v>24</v>
      </c>
      <c r="F45" s="101"/>
      <c r="G45" s="102"/>
      <c r="H45" s="41"/>
      <c r="I45" s="41" t="s">
        <v>2</v>
      </c>
      <c r="J45" s="46">
        <v>100</v>
      </c>
      <c r="K45" s="98"/>
      <c r="AA45" s="82"/>
      <c r="AB45" s="82"/>
    </row>
    <row r="46" spans="1:28" ht="15.75" customHeight="1">
      <c r="A46" s="17"/>
      <c r="B46" s="43"/>
      <c r="C46" s="44"/>
      <c r="D46" s="42"/>
      <c r="E46" s="103"/>
      <c r="F46" s="58"/>
      <c r="G46" s="104"/>
      <c r="H46" s="41"/>
      <c r="I46" s="41" t="s">
        <v>5</v>
      </c>
      <c r="J46" s="105">
        <v>200</v>
      </c>
      <c r="K46" s="98"/>
      <c r="AA46" s="82"/>
      <c r="AB46" s="82"/>
    </row>
    <row r="47" spans="1:30" ht="15.75" customHeight="1">
      <c r="A47" s="17"/>
      <c r="B47" s="180" t="s">
        <v>25</v>
      </c>
      <c r="C47" s="181"/>
      <c r="D47" s="106">
        <f>F47*D12</f>
        <v>8750</v>
      </c>
      <c r="E47" s="107" t="s">
        <v>26</v>
      </c>
      <c r="F47" s="108">
        <v>1750</v>
      </c>
      <c r="G47" s="109" t="s">
        <v>91</v>
      </c>
      <c r="H47" s="18"/>
      <c r="I47" s="18"/>
      <c r="J47" s="18"/>
      <c r="K47" s="24"/>
      <c r="AD47" s="11" t="b">
        <v>1</v>
      </c>
    </row>
    <row r="48" spans="1:30" ht="15.75" customHeight="1">
      <c r="A48" s="17"/>
      <c r="B48" s="56"/>
      <c r="C48" s="58"/>
      <c r="D48" s="106"/>
      <c r="E48" s="103"/>
      <c r="F48" s="58"/>
      <c r="G48" s="104"/>
      <c r="H48" s="18"/>
      <c r="I48" s="18"/>
      <c r="J48" s="18"/>
      <c r="K48" s="34"/>
      <c r="AD48" s="11" t="b">
        <v>0</v>
      </c>
    </row>
    <row r="49" spans="1:11" ht="15.75" customHeight="1">
      <c r="A49" s="17"/>
      <c r="B49" s="180" t="s">
        <v>27</v>
      </c>
      <c r="C49" s="181"/>
      <c r="D49" s="110">
        <f>IF(D12=J13,6000,12000)</f>
        <v>6000</v>
      </c>
      <c r="E49" s="107" t="s">
        <v>28</v>
      </c>
      <c r="F49" s="51">
        <f>+$D$47/$D49</f>
        <v>1.4583333333333333</v>
      </c>
      <c r="G49" s="109" t="s">
        <v>29</v>
      </c>
      <c r="H49" s="18"/>
      <c r="I49" s="18"/>
      <c r="J49" s="18"/>
      <c r="K49" s="34"/>
    </row>
    <row r="50" spans="1:11" ht="15.75" customHeight="1">
      <c r="A50" s="17"/>
      <c r="B50" s="180" t="s">
        <v>30</v>
      </c>
      <c r="C50" s="181"/>
      <c r="D50" s="111">
        <v>20</v>
      </c>
      <c r="E50" s="107" t="s">
        <v>31</v>
      </c>
      <c r="F50" s="51">
        <f>+$D$47/($D50*D45)</f>
        <v>4.375</v>
      </c>
      <c r="G50" s="109" t="s">
        <v>29</v>
      </c>
      <c r="H50" s="18"/>
      <c r="I50" s="18"/>
      <c r="J50" s="18"/>
      <c r="K50" s="112"/>
    </row>
    <row r="51" spans="1:11" ht="15.75" customHeight="1">
      <c r="A51" s="17"/>
      <c r="B51" s="180" t="s">
        <v>32</v>
      </c>
      <c r="C51" s="181"/>
      <c r="D51" s="111">
        <v>5</v>
      </c>
      <c r="E51" s="107" t="s">
        <v>13</v>
      </c>
      <c r="F51" s="51">
        <f>+$D$47*0.006*$D51/D45</f>
        <v>2.625</v>
      </c>
      <c r="G51" s="109" t="s">
        <v>29</v>
      </c>
      <c r="H51" s="18"/>
      <c r="I51" s="175" t="str">
        <f>CONCATENATE("Vida útil para ",D45," h/año")</f>
        <v>Vida útil para 100 h/año</v>
      </c>
      <c r="J51" s="175"/>
      <c r="K51" s="24"/>
    </row>
    <row r="52" spans="1:11" ht="15.75" customHeight="1">
      <c r="A52" s="17"/>
      <c r="B52" s="180" t="s">
        <v>33</v>
      </c>
      <c r="C52" s="181"/>
      <c r="D52" s="111">
        <v>0.2</v>
      </c>
      <c r="E52" s="107" t="s">
        <v>34</v>
      </c>
      <c r="F52" s="51">
        <f>+$D$47*$D52/(100*D45)</f>
        <v>0.175</v>
      </c>
      <c r="G52" s="109" t="s">
        <v>29</v>
      </c>
      <c r="H52" s="18"/>
      <c r="I52" s="113" t="s">
        <v>28</v>
      </c>
      <c r="J52" s="114">
        <f>+$D$47/($F$49+$F$50)</f>
        <v>1500</v>
      </c>
      <c r="K52" s="24"/>
    </row>
    <row r="53" spans="1:11" ht="15.75" customHeight="1">
      <c r="A53" s="17"/>
      <c r="B53" s="180" t="s">
        <v>35</v>
      </c>
      <c r="C53" s="181"/>
      <c r="D53" s="111">
        <v>0.1</v>
      </c>
      <c r="E53" s="107" t="s">
        <v>34</v>
      </c>
      <c r="F53" s="51">
        <f>+$D$47*$D53/(D45*100)</f>
        <v>0.0875</v>
      </c>
      <c r="G53" s="109" t="s">
        <v>29</v>
      </c>
      <c r="H53" s="18"/>
      <c r="I53" s="113" t="s">
        <v>31</v>
      </c>
      <c r="J53" s="115">
        <f>+$D$47/($D$45*($F$49+$F$50))</f>
        <v>15.000000000000002</v>
      </c>
      <c r="K53" s="116"/>
    </row>
    <row r="54" spans="1:11" ht="15.75" customHeight="1" thickBot="1">
      <c r="A54" s="17"/>
      <c r="B54" s="182" t="s">
        <v>36</v>
      </c>
      <c r="C54" s="183"/>
      <c r="D54" s="84">
        <v>1.2</v>
      </c>
      <c r="E54" s="117" t="s">
        <v>37</v>
      </c>
      <c r="F54" s="118">
        <f>+D54/D26</f>
        <v>1.68</v>
      </c>
      <c r="G54" s="119" t="s">
        <v>29</v>
      </c>
      <c r="H54" s="18"/>
      <c r="I54" s="18"/>
      <c r="J54" s="18"/>
      <c r="K54" s="120"/>
    </row>
    <row r="55" spans="1:11" ht="15.75" customHeight="1" thickTop="1">
      <c r="A55" s="17"/>
      <c r="B55" s="52" t="s">
        <v>38</v>
      </c>
      <c r="C55" s="9"/>
      <c r="D55" s="103"/>
      <c r="E55" s="103"/>
      <c r="F55" s="51">
        <f>SUM(F49:F54)</f>
        <v>10.400833333333333</v>
      </c>
      <c r="G55" s="109" t="s">
        <v>29</v>
      </c>
      <c r="H55" s="18"/>
      <c r="I55" s="18"/>
      <c r="J55" s="18"/>
      <c r="K55" s="121"/>
    </row>
    <row r="56" spans="1:11" ht="15.75" customHeight="1">
      <c r="A56" s="17"/>
      <c r="B56" s="122"/>
      <c r="C56" s="123"/>
      <c r="D56" s="124"/>
      <c r="E56" s="124"/>
      <c r="F56" s="125">
        <f>+F55*D26</f>
        <v>7.429166666666666</v>
      </c>
      <c r="G56" s="126" t="s">
        <v>37</v>
      </c>
      <c r="H56" s="18"/>
      <c r="I56" s="18"/>
      <c r="J56" s="18"/>
      <c r="K56" s="24"/>
    </row>
    <row r="57" spans="1:11" ht="15.75" customHeight="1">
      <c r="A57" s="17"/>
      <c r="B57" s="127"/>
      <c r="C57" s="127"/>
      <c r="D57" s="128"/>
      <c r="E57" s="128"/>
      <c r="F57" s="127"/>
      <c r="G57" s="129"/>
      <c r="H57" s="18"/>
      <c r="I57" s="18"/>
      <c r="J57" s="18"/>
      <c r="K57" s="24"/>
    </row>
    <row r="58" spans="1:11" ht="15.75" customHeight="1">
      <c r="A58" s="17"/>
      <c r="B58" s="196" t="s">
        <v>40</v>
      </c>
      <c r="C58" s="196"/>
      <c r="D58" s="196"/>
      <c r="E58" s="197" t="s">
        <v>100</v>
      </c>
      <c r="F58" s="197"/>
      <c r="G58" s="130"/>
      <c r="H58" s="18"/>
      <c r="I58" s="18"/>
      <c r="J58" s="18"/>
      <c r="K58" s="24"/>
    </row>
    <row r="59" spans="1:11" ht="15.75" customHeight="1">
      <c r="A59" s="17"/>
      <c r="B59" s="192" t="s">
        <v>85</v>
      </c>
      <c r="C59" s="192"/>
      <c r="D59" s="131" t="s">
        <v>86</v>
      </c>
      <c r="E59" s="132" t="s">
        <v>29</v>
      </c>
      <c r="F59" s="132" t="s">
        <v>37</v>
      </c>
      <c r="G59" s="133"/>
      <c r="H59" s="18"/>
      <c r="I59" s="192" t="s">
        <v>105</v>
      </c>
      <c r="J59" s="192"/>
      <c r="K59" s="24"/>
    </row>
    <row r="60" spans="1:11" ht="15.75" customHeight="1">
      <c r="A60" s="17"/>
      <c r="B60" s="41"/>
      <c r="C60" s="41" t="s">
        <v>87</v>
      </c>
      <c r="D60" s="134">
        <f>R36</f>
        <v>14.967058823529412</v>
      </c>
      <c r="E60" s="115">
        <f>IF(AD68=TRUE,D60+D41,D60*0)</f>
        <v>0</v>
      </c>
      <c r="F60" s="135">
        <f>E60*$D$26</f>
        <v>0</v>
      </c>
      <c r="G60" s="136">
        <f>IF(AD68=TRUE,F60,F60*0)</f>
        <v>0</v>
      </c>
      <c r="H60" s="18"/>
      <c r="I60" s="137">
        <v>560</v>
      </c>
      <c r="J60" s="62" t="s">
        <v>106</v>
      </c>
      <c r="K60" s="24"/>
    </row>
    <row r="61" spans="1:11" ht="15.75" customHeight="1">
      <c r="A61" s="17"/>
      <c r="B61" s="41"/>
      <c r="C61" s="41" t="s">
        <v>88</v>
      </c>
      <c r="D61" s="134">
        <f>R37</f>
        <v>10.865882352941176</v>
      </c>
      <c r="E61" s="138">
        <f>IF(AD69=TRUE,D61+D41,D61*0)</f>
        <v>24.101176470588236</v>
      </c>
      <c r="F61" s="135">
        <f>E61*$D$26</f>
        <v>17.215126050420167</v>
      </c>
      <c r="G61" s="136">
        <f>IF(AD69=TRUE,F61,F61*0)</f>
        <v>17.215126050420167</v>
      </c>
      <c r="H61" s="18"/>
      <c r="I61" s="18"/>
      <c r="J61" s="18"/>
      <c r="K61" s="24"/>
    </row>
    <row r="62" spans="1:11" ht="15.75" customHeight="1">
      <c r="A62" s="17"/>
      <c r="B62" s="18"/>
      <c r="C62" s="139"/>
      <c r="D62" s="21"/>
      <c r="E62" s="19"/>
      <c r="F62" s="140"/>
      <c r="G62" s="133"/>
      <c r="H62" s="18"/>
      <c r="I62" s="18"/>
      <c r="J62" s="18"/>
      <c r="K62" s="24"/>
    </row>
    <row r="63" spans="1:11" ht="15.75" customHeight="1">
      <c r="A63" s="17"/>
      <c r="B63" s="198" t="s">
        <v>101</v>
      </c>
      <c r="C63" s="199"/>
      <c r="D63" s="200"/>
      <c r="E63" s="194" t="s">
        <v>38</v>
      </c>
      <c r="F63" s="194"/>
      <c r="G63" s="130"/>
      <c r="H63" s="18"/>
      <c r="I63" s="18"/>
      <c r="J63" s="18"/>
      <c r="K63" s="24"/>
    </row>
    <row r="64" spans="1:11" ht="15.75" customHeight="1">
      <c r="A64" s="17"/>
      <c r="B64" s="192" t="s">
        <v>85</v>
      </c>
      <c r="C64" s="192"/>
      <c r="D64" s="141" t="s">
        <v>39</v>
      </c>
      <c r="E64" s="194" t="s">
        <v>37</v>
      </c>
      <c r="F64" s="194"/>
      <c r="G64" s="23"/>
      <c r="H64" s="18"/>
      <c r="I64" s="18"/>
      <c r="J64" s="18"/>
      <c r="K64" s="24"/>
    </row>
    <row r="65" spans="1:11" ht="15.75" customHeight="1">
      <c r="A65" s="17"/>
      <c r="B65" s="41"/>
      <c r="C65" s="142" t="str">
        <f>IF(D45=J45,"Baja","Alta")</f>
        <v>Baja</v>
      </c>
      <c r="D65" s="143">
        <f>D45*D27</f>
        <v>140</v>
      </c>
      <c r="E65" s="195">
        <f>+F56+$G$60+$G$61</f>
        <v>24.644292717086834</v>
      </c>
      <c r="F65" s="195" t="e">
        <f>$D$24*($D$45/$D$47)+$D$45/($D$48*D65*$D$24)+(($D$45*0.006*$D$49)/(D65*$D$24))+$D$45*($D$50+$D$51)/(100*D65*$D$24)+($D$52/$D$24)+$D$72</f>
        <v>#DIV/0!</v>
      </c>
      <c r="G65" s="23"/>
      <c r="H65" s="18"/>
      <c r="I65" s="18"/>
      <c r="J65" s="18"/>
      <c r="K65" s="24"/>
    </row>
    <row r="66" spans="1:11" ht="15.75" customHeight="1">
      <c r="A66" s="17"/>
      <c r="B66" s="144"/>
      <c r="C66" s="145"/>
      <c r="D66" s="146"/>
      <c r="E66" s="147"/>
      <c r="F66" s="148"/>
      <c r="G66" s="149"/>
      <c r="H66" s="144"/>
      <c r="I66" s="144"/>
      <c r="J66" s="144"/>
      <c r="K66" s="24"/>
    </row>
    <row r="67" spans="1:11" ht="15.75" customHeight="1">
      <c r="A67" s="17"/>
      <c r="B67" s="144"/>
      <c r="C67" s="144"/>
      <c r="D67" s="146"/>
      <c r="E67" s="146"/>
      <c r="F67" s="144"/>
      <c r="G67" s="150"/>
      <c r="H67" s="144"/>
      <c r="I67" s="144"/>
      <c r="J67" s="144"/>
      <c r="K67" s="24"/>
    </row>
    <row r="68" spans="1:30" ht="15.75" customHeight="1">
      <c r="A68" s="151"/>
      <c r="B68" s="152"/>
      <c r="C68" s="153"/>
      <c r="D68" s="154"/>
      <c r="E68" s="154"/>
      <c r="F68" s="155"/>
      <c r="G68" s="156"/>
      <c r="H68" s="152"/>
      <c r="I68" s="152"/>
      <c r="J68" s="152"/>
      <c r="K68" s="157"/>
      <c r="AD68" s="11" t="b">
        <v>0</v>
      </c>
    </row>
    <row r="69" spans="1:30" ht="15.75" customHeight="1">
      <c r="A69" s="158"/>
      <c r="B69" s="158"/>
      <c r="C69" s="158"/>
      <c r="D69" s="159"/>
      <c r="E69" s="160"/>
      <c r="F69" s="161"/>
      <c r="G69" s="162"/>
      <c r="H69" s="158"/>
      <c r="I69" s="158"/>
      <c r="J69" s="158"/>
      <c r="K69" s="163"/>
      <c r="AD69" s="11" t="b">
        <v>1</v>
      </c>
    </row>
    <row r="70" spans="1:11" ht="15.75" customHeight="1">
      <c r="A70" s="158"/>
      <c r="B70" s="158"/>
      <c r="C70" s="158"/>
      <c r="D70" s="159"/>
      <c r="E70" s="160"/>
      <c r="F70" s="158"/>
      <c r="G70" s="164"/>
      <c r="H70" s="158"/>
      <c r="I70" s="158"/>
      <c r="J70" s="158"/>
      <c r="K70" s="163"/>
    </row>
    <row r="71" spans="1:10" ht="15.75" customHeight="1">
      <c r="A71" s="158"/>
      <c r="B71" s="158"/>
      <c r="C71" s="158"/>
      <c r="D71" s="159"/>
      <c r="E71" s="160"/>
      <c r="F71" s="158"/>
      <c r="G71" s="164"/>
      <c r="H71" s="158"/>
      <c r="I71" s="158"/>
      <c r="J71" s="158"/>
    </row>
    <row r="72" spans="1:10" ht="15.75" customHeight="1">
      <c r="A72" s="158"/>
      <c r="B72" s="158"/>
      <c r="C72" s="165"/>
      <c r="D72" s="159"/>
      <c r="E72" s="166"/>
      <c r="F72" s="161"/>
      <c r="G72" s="162"/>
      <c r="H72" s="158"/>
      <c r="I72" s="158"/>
      <c r="J72" s="158"/>
    </row>
    <row r="73" spans="1:30" ht="15.75" customHeight="1">
      <c r="A73" s="158"/>
      <c r="D73" s="167"/>
      <c r="E73" s="168"/>
      <c r="F73" s="169"/>
      <c r="G73" s="170"/>
      <c r="AD73" s="11" t="b">
        <v>1</v>
      </c>
    </row>
    <row r="74" spans="1:30" ht="15.75" customHeight="1">
      <c r="A74" s="158"/>
      <c r="AD74" s="11" t="b">
        <v>0</v>
      </c>
    </row>
    <row r="75" ht="15.75" customHeight="1">
      <c r="A75" s="158"/>
    </row>
    <row r="76" ht="15.75" customHeight="1">
      <c r="A76" s="158"/>
    </row>
    <row r="77" ht="15.75" customHeight="1">
      <c r="A77" s="158"/>
    </row>
    <row r="78" ht="13.5">
      <c r="A78" s="158"/>
    </row>
    <row r="79" ht="13.5">
      <c r="A79" s="158"/>
    </row>
    <row r="80" ht="13.5">
      <c r="A80" s="158"/>
    </row>
    <row r="81" ht="13.5">
      <c r="A81" s="158"/>
    </row>
    <row r="82" ht="13.5">
      <c r="A82" s="158"/>
    </row>
    <row r="83" ht="13.5">
      <c r="A83" s="158"/>
    </row>
  </sheetData>
  <sheetProtection/>
  <mergeCells count="54">
    <mergeCell ref="B64:C64"/>
    <mergeCell ref="E64:F64"/>
    <mergeCell ref="E65:F65"/>
    <mergeCell ref="B58:D58"/>
    <mergeCell ref="E58:F58"/>
    <mergeCell ref="B59:C59"/>
    <mergeCell ref="B63:D63"/>
    <mergeCell ref="E63:F63"/>
    <mergeCell ref="I59:J59"/>
    <mergeCell ref="B12:C12"/>
    <mergeCell ref="I12:J12"/>
    <mergeCell ref="M22:N22"/>
    <mergeCell ref="B13:C13"/>
    <mergeCell ref="B14:C14"/>
    <mergeCell ref="B16:C16"/>
    <mergeCell ref="I16:J16"/>
    <mergeCell ref="B17:C17"/>
    <mergeCell ref="B22:C22"/>
    <mergeCell ref="B19:C19"/>
    <mergeCell ref="B20:C20"/>
    <mergeCell ref="I20:J20"/>
    <mergeCell ref="B24:C24"/>
    <mergeCell ref="B18:C18"/>
    <mergeCell ref="B35:C35"/>
    <mergeCell ref="B26:C26"/>
    <mergeCell ref="B29:C29"/>
    <mergeCell ref="B40:C40"/>
    <mergeCell ref="B44:C44"/>
    <mergeCell ref="B45:C45"/>
    <mergeCell ref="B52:C52"/>
    <mergeCell ref="I25:J25"/>
    <mergeCell ref="B25:C25"/>
    <mergeCell ref="I30:J30"/>
    <mergeCell ref="B30:C30"/>
    <mergeCell ref="B36:C36"/>
    <mergeCell ref="B38:C38"/>
    <mergeCell ref="B32:C32"/>
    <mergeCell ref="B33:C33"/>
    <mergeCell ref="B53:C53"/>
    <mergeCell ref="B54:C54"/>
    <mergeCell ref="B47:C47"/>
    <mergeCell ref="B49:C49"/>
    <mergeCell ref="B50:C50"/>
    <mergeCell ref="B51:C51"/>
    <mergeCell ref="Q33:R34"/>
    <mergeCell ref="M34:M35"/>
    <mergeCell ref="M9:N9"/>
    <mergeCell ref="I51:J51"/>
    <mergeCell ref="I44:J44"/>
    <mergeCell ref="M25:N25"/>
    <mergeCell ref="I36:J36"/>
    <mergeCell ref="M36:M37"/>
    <mergeCell ref="M31:O31"/>
    <mergeCell ref="M32:M33"/>
  </mergeCells>
  <conditionalFormatting sqref="J31:J34">
    <cfRule type="cellIs" priority="1" dxfId="0" operator="equal" stopIfTrue="1">
      <formula>$D$33</formula>
    </cfRule>
  </conditionalFormatting>
  <conditionalFormatting sqref="J13:J15">
    <cfRule type="cellIs" priority="2" dxfId="0" operator="equal" stopIfTrue="1">
      <formula>$D$12</formula>
    </cfRule>
  </conditionalFormatting>
  <conditionalFormatting sqref="J26:J28">
    <cfRule type="cellIs" priority="3" dxfId="0" operator="equal" stopIfTrue="1">
      <formula>$D$29</formula>
    </cfRule>
  </conditionalFormatting>
  <conditionalFormatting sqref="J21:J23">
    <cfRule type="cellIs" priority="4" dxfId="0" operator="equal" stopIfTrue="1">
      <formula>$D$25</formula>
    </cfRule>
  </conditionalFormatting>
  <conditionalFormatting sqref="J17:J18">
    <cfRule type="cellIs" priority="5" dxfId="0" operator="equal" stopIfTrue="1">
      <formula>$D$13</formula>
    </cfRule>
  </conditionalFormatting>
  <conditionalFormatting sqref="C61">
    <cfRule type="expression" priority="6" dxfId="0" stopIfTrue="1">
      <formula>$G$61&gt;0</formula>
    </cfRule>
  </conditionalFormatting>
  <conditionalFormatting sqref="C60">
    <cfRule type="expression" priority="7" dxfId="0" stopIfTrue="1">
      <formula>$G$60&gt;0</formula>
    </cfRule>
  </conditionalFormatting>
  <conditionalFormatting sqref="J38">
    <cfRule type="expression" priority="8" dxfId="0" stopIfTrue="1">
      <formula>$D$29=25</formula>
    </cfRule>
  </conditionalFormatting>
  <conditionalFormatting sqref="J39">
    <cfRule type="expression" priority="9" dxfId="0" stopIfTrue="1">
      <formula>$D$29=50</formula>
    </cfRule>
  </conditionalFormatting>
  <conditionalFormatting sqref="J40">
    <cfRule type="expression" priority="10" dxfId="0" stopIfTrue="1">
      <formula>$D$29=75</formula>
    </cfRule>
  </conditionalFormatting>
  <conditionalFormatting sqref="J45:J46">
    <cfRule type="cellIs" priority="11" dxfId="0" operator="equal" stopIfTrue="1">
      <formula>$D$45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80.00390625" style="3" customWidth="1"/>
  </cols>
  <sheetData>
    <row r="1" s="1" customFormat="1" ht="83.25" customHeight="1">
      <c r="A1" s="4"/>
    </row>
    <row r="2" spans="1:15" ht="24.75" customHeight="1">
      <c r="A2" s="5" t="s">
        <v>102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4" t="s">
        <v>103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4" t="s">
        <v>107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4" t="s">
        <v>108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28.5" customHeight="1">
      <c r="A7" s="4" t="s">
        <v>109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28.5" customHeight="1">
      <c r="A8" s="4" t="s">
        <v>110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4" t="s">
        <v>111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28.5" customHeight="1">
      <c r="A10" s="4" t="s">
        <v>112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2.5" customHeight="1">
      <c r="A11" s="4" t="s">
        <v>113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28.5" customHeight="1">
      <c r="A12" s="4" t="s">
        <v>114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28.5" customHeight="1">
      <c r="A13" s="4" t="s">
        <v>115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28.5" customHeight="1">
      <c r="A14" s="4" t="s">
        <v>116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4" t="s">
        <v>104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4" t="s">
        <v>125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8.5" customHeight="1">
      <c r="A18" s="4" t="s">
        <v>117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4" t="s">
        <v>126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28.5" customHeight="1">
      <c r="A20" s="4" t="s">
        <v>118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4" t="s">
        <v>119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4" t="s">
        <v>127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4" t="s">
        <v>120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4" t="s">
        <v>121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4" t="s">
        <v>122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28.5" customHeight="1">
      <c r="A26" s="4" t="s">
        <v>123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34.5" customHeight="1">
      <c r="A27" s="4" t="s">
        <v>124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/>
  <printOptions horizontalCentered="1"/>
  <pageMargins left="0.3937007874015748" right="0.3937007874015748" top="0.98425196850393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Ninguna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LM</cp:lastModifiedBy>
  <cp:lastPrinted>2008-09-10T13:35:50Z</cp:lastPrinted>
  <dcterms:created xsi:type="dcterms:W3CDTF">2006-04-10T08:55:06Z</dcterms:created>
  <dcterms:modified xsi:type="dcterms:W3CDTF">2014-06-27T08:10:30Z</dcterms:modified>
  <cp:category/>
  <cp:version/>
  <cp:contentType/>
  <cp:contentStatus/>
</cp:coreProperties>
</file>