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8952" tabRatio="771" activeTab="0"/>
  </bookViews>
  <sheets>
    <sheet name="Hiler.-Rastr." sheetId="1" r:id="rId1"/>
    <sheet name=" Metodología" sheetId="2" r:id="rId2"/>
  </sheets>
  <definedNames>
    <definedName name="_xlnm.Print_Area" localSheetId="1">' Metodología'!$A$1:$A$26</definedName>
    <definedName name="_xlnm.Print_Area" localSheetId="0">'Hiler.-Rastr.'!$A$1:$K$68</definedName>
  </definedNames>
  <calcPr fullCalcOnLoad="1"/>
</workbook>
</file>

<file path=xl/sharedStrings.xml><?xml version="1.0" encoding="utf-8"?>
<sst xmlns="http://schemas.openxmlformats.org/spreadsheetml/2006/main" count="178" uniqueCount="137">
  <si>
    <t>OPERACIÓN:</t>
  </si>
  <si>
    <t xml:space="preserve">APERO: </t>
  </si>
  <si>
    <t>m</t>
  </si>
  <si>
    <t>Baja</t>
  </si>
  <si>
    <t>Alta</t>
  </si>
  <si>
    <t>Velocidad de trabajo</t>
  </si>
  <si>
    <t>km/h</t>
  </si>
  <si>
    <t>kW</t>
  </si>
  <si>
    <t>RESULTADOS MAPA</t>
  </si>
  <si>
    <t>%</t>
  </si>
  <si>
    <t>consumos</t>
  </si>
  <si>
    <t>Eficiencia de trabajo</t>
  </si>
  <si>
    <t>CV</t>
  </si>
  <si>
    <t>Media</t>
  </si>
  <si>
    <t>Capacidad trabajo teórica</t>
  </si>
  <si>
    <t>h/ha</t>
  </si>
  <si>
    <t>Eficiencia</t>
  </si>
  <si>
    <t>Capacidad trabajo real</t>
  </si>
  <si>
    <t>Nivel de carga de trabajo (%)</t>
  </si>
  <si>
    <t>ha/h</t>
  </si>
  <si>
    <t>Bajo</t>
  </si>
  <si>
    <t>Medio</t>
  </si>
  <si>
    <t>h/año</t>
  </si>
  <si>
    <t>Nivel de carga del tractor</t>
  </si>
  <si>
    <t>Alto</t>
  </si>
  <si>
    <t>Potencia tractor necesaria</t>
  </si>
  <si>
    <t>€/h</t>
  </si>
  <si>
    <t>Nivel potencia tractor (CV)</t>
  </si>
  <si>
    <t>Pequeño</t>
  </si>
  <si>
    <t>Mediano</t>
  </si>
  <si>
    <t>Grande</t>
  </si>
  <si>
    <t>COSTES DE UTILIZACIÓN</t>
  </si>
  <si>
    <t>Muy grande</t>
  </si>
  <si>
    <t>Consumo de combustible</t>
  </si>
  <si>
    <t>L/h</t>
  </si>
  <si>
    <t>L/ha</t>
  </si>
  <si>
    <t>Consumo combustible</t>
  </si>
  <si>
    <t>Consumo de aceite</t>
  </si>
  <si>
    <t>Carga</t>
  </si>
  <si>
    <t>Factor (L/h-kW)</t>
  </si>
  <si>
    <t>Coste gasóleo</t>
  </si>
  <si>
    <t>€/L</t>
  </si>
  <si>
    <t>Coste combustible</t>
  </si>
  <si>
    <t>€/ha</t>
  </si>
  <si>
    <t>COSTES DE POSESIÓN</t>
  </si>
  <si>
    <t>Horas trabajo anuales</t>
  </si>
  <si>
    <t>Precio adquisición</t>
  </si>
  <si>
    <t>€</t>
  </si>
  <si>
    <t>amort. - desgaste</t>
  </si>
  <si>
    <t>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</si>
  <si>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</si>
  <si>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</si>
  <si>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</si>
  <si>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</si>
  <si>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</si>
  <si>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</si>
  <si>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</si>
  <si>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Coste total</t>
  </si>
  <si>
    <t>Tractor auxiliar</t>
  </si>
  <si>
    <t>ha/año</t>
  </si>
  <si>
    <t>P (kW)</t>
  </si>
  <si>
    <t>Anchura de trabajo</t>
  </si>
  <si>
    <t>Anchura de trabajo (m)</t>
  </si>
  <si>
    <t>horas</t>
  </si>
  <si>
    <t>€/kW</t>
  </si>
  <si>
    <t>Seguros</t>
  </si>
  <si>
    <t>Resguardo</t>
  </si>
  <si>
    <t>L/h-kW</t>
  </si>
  <si>
    <t>Pot (kW/m)</t>
  </si>
  <si>
    <t>kW/m</t>
  </si>
  <si>
    <t>Potencia a la tdf (ASAE)</t>
  </si>
  <si>
    <t>pot tractor CV</t>
  </si>
  <si>
    <t>nivel carga %</t>
  </si>
  <si>
    <t>pot utilizada</t>
  </si>
  <si>
    <t>anchura max (m)</t>
  </si>
  <si>
    <t>pot req. (kW/m)</t>
  </si>
  <si>
    <t>Hilerado-Rastrillado</t>
  </si>
  <si>
    <t>v(km/h)</t>
  </si>
  <si>
    <t>1 L/ha</t>
  </si>
  <si>
    <t>4 L/ha</t>
  </si>
  <si>
    <t>ASAE rake rotary</t>
  </si>
  <si>
    <t>cap.trab. alta</t>
  </si>
  <si>
    <t>cap.trab. normal</t>
  </si>
  <si>
    <t>Pot a la barra i/rod+desliz</t>
  </si>
  <si>
    <t>P barra i/rod+desliz</t>
  </si>
  <si>
    <t>Pot (kW)</t>
  </si>
  <si>
    <t>a (m)</t>
  </si>
  <si>
    <t>FICHA TEC rastrillo</t>
  </si>
  <si>
    <t>40-45</t>
  </si>
  <si>
    <t>5,2-7,2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</si>
  <si>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</si>
  <si>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</si>
  <si>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</si>
  <si>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</si>
  <si>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</si>
  <si>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</si>
  <si>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</si>
  <si>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Peso apero</t>
  </si>
  <si>
    <t>kg</t>
  </si>
  <si>
    <t>AUXILIAR</t>
  </si>
  <si>
    <t>kg/m</t>
  </si>
  <si>
    <t>Poses. + tract.</t>
  </si>
  <si>
    <t>€/m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</si>
  <si>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</si>
  <si>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</si>
  <si>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</si>
  <si>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</si>
  <si>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</si>
  <si>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</si>
  <si>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</si>
  <si>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</si>
  <si>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>TRACTOR + APERO</t>
  </si>
  <si>
    <t>Los datos de partida de esta operación son los siguientes:</t>
  </si>
  <si>
    <t>Las hipótesis establecidas para el cálculo de los costes son las siguientes:</t>
  </si>
  <si>
    <t>Rastrillo hilerador/acondicionador acc.a la tdf</t>
  </si>
  <si>
    <t>Precio adquisición tractor</t>
  </si>
  <si>
    <t xml:space="preserve"> €/kW de potencia</t>
  </si>
  <si>
    <t>-          Anchura de trabajo del apero: Alta (8 m) y baja (5 m)</t>
  </si>
  <si>
    <t>-          Velocidad de trabajo: Es un valor tomado de las velocidades recomendadas de trabajo</t>
  </si>
  <si>
    <t xml:space="preserve">-          Peso del apero: Estimado en 250 kg/m </t>
  </si>
  <si>
    <t>-          Eficiencia de la operación: Baja, media o alta (se recomienda escoger media para esta operación puesto que es la situación más habitual)</t>
  </si>
  <si>
    <t>-          Nivel de carga del tractor: Bajo, medio o alto (se recomienda poner un nivel bajo para esta operación)</t>
  </si>
  <si>
    <t>-          Potencia a la tdf: Es un valor tomado de los valores recomendados por ASAE.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</si>
  <si>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</si>
  <si>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</si>
  <si>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(50 h/año) y alta (100 h/año)</t>
  </si>
  <si>
    <t>-          Precio de adquisición: Estimado en 900 €/m de anchura de trabajo</t>
  </si>
  <si>
    <t xml:space="preserve">-          Amortización por desgaste: 800 h 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</si>
  <si>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</si>
  <si>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</si>
  <si>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</si>
  <si>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</si>
  <si>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</si>
  <si>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-          Mantenimiento y reparaciones: 0,9 €/ha</t>
  </si>
  <si>
    <t>Hilerado-Rastrillado o Acondicionado</t>
  </si>
  <si>
    <t>-          Coste de combustible: 1,005 €/L</t>
  </si>
  <si>
    <t>-          Interés: 5 %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</si>
</sst>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_-* #,##0.0\ _€_-;\-* #,##0.0\ _€_-;_-* &quot;-&quot;??\ _€_-;_-@_-"/>
    <numFmt numFmtId="179" formatCode="_-* #,##0\ _€_-;\-* #,##0\ _€_-;_-* &quot;-&quot;??\ _€_-;_-@_-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sz val="11"/>
      <color indexed="12"/>
      <name val="Arial"/>
      <family val="2"/>
    </font>
    <font>
      <sz val="11"/>
      <color indexed="9"/>
      <name val="Times New Roman"/>
      <family val="1"/>
    </font>
    <font>
      <b/>
      <sz val="11"/>
      <color indexed="2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42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6" fillId="33" borderId="11" xfId="0" applyNumberFormat="1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 locked="0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11" fillId="0" borderId="15" xfId="0" applyFont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11" fillId="34" borderId="15" xfId="0" applyFont="1" applyFill="1" applyBorder="1" applyAlignment="1" applyProtection="1">
      <alignment horizontal="center"/>
      <protection locked="0"/>
    </xf>
    <xf numFmtId="0" fontId="13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0" fillId="33" borderId="0" xfId="0" applyFont="1" applyFill="1" applyBorder="1" applyAlignment="1" applyProtection="1">
      <alignment horizontal="center"/>
      <protection hidden="1"/>
    </xf>
    <xf numFmtId="0" fontId="13" fillId="33" borderId="14" xfId="0" applyFont="1" applyFill="1" applyBorder="1" applyAlignment="1">
      <alignment horizontal="center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left"/>
    </xf>
    <xf numFmtId="2" fontId="16" fillId="33" borderId="0" xfId="0" applyNumberFormat="1" applyFont="1" applyFill="1" applyBorder="1" applyAlignment="1" applyProtection="1">
      <alignment horizontal="center"/>
      <protection hidden="1"/>
    </xf>
    <xf numFmtId="0" fontId="15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 applyProtection="1">
      <alignment horizontal="center"/>
      <protection hidden="1"/>
    </xf>
    <xf numFmtId="0" fontId="6" fillId="34" borderId="16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wrapText="1"/>
    </xf>
    <xf numFmtId="0" fontId="6" fillId="35" borderId="16" xfId="0" applyFont="1" applyFill="1" applyBorder="1" applyAlignment="1" applyProtection="1">
      <alignment horizontal="center"/>
      <protection hidden="1"/>
    </xf>
    <xf numFmtId="0" fontId="6" fillId="35" borderId="17" xfId="0" applyFont="1" applyFill="1" applyBorder="1" applyAlignment="1">
      <alignment horizontal="center"/>
    </xf>
    <xf numFmtId="165" fontId="6" fillId="0" borderId="15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2" fontId="11" fillId="33" borderId="0" xfId="0" applyNumberFormat="1" applyFont="1" applyFill="1" applyBorder="1" applyAlignment="1" applyProtection="1">
      <alignment horizontal="center"/>
      <protection hidden="1" locked="0"/>
    </xf>
    <xf numFmtId="0" fontId="15" fillId="33" borderId="18" xfId="0" applyFont="1" applyFill="1" applyBorder="1" applyAlignment="1">
      <alignment horizontal="left"/>
    </xf>
    <xf numFmtId="0" fontId="15" fillId="33" borderId="19" xfId="0" applyFont="1" applyFill="1" applyBorder="1" applyAlignment="1">
      <alignment horizontal="left"/>
    </xf>
    <xf numFmtId="164" fontId="16" fillId="33" borderId="19" xfId="0" applyNumberFormat="1" applyFont="1" applyFill="1" applyBorder="1" applyAlignment="1" applyProtection="1">
      <alignment horizontal="center"/>
      <protection hidden="1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left"/>
    </xf>
    <xf numFmtId="0" fontId="15" fillId="33" borderId="22" xfId="0" applyFont="1" applyFill="1" applyBorder="1" applyAlignment="1">
      <alignment horizontal="left"/>
    </xf>
    <xf numFmtId="164" fontId="16" fillId="33" borderId="22" xfId="0" applyNumberFormat="1" applyFont="1" applyFill="1" applyBorder="1" applyAlignment="1" applyProtection="1">
      <alignment horizontal="center"/>
      <protection hidden="1"/>
    </xf>
    <xf numFmtId="0" fontId="15" fillId="33" borderId="23" xfId="0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34" borderId="0" xfId="0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6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3" fontId="11" fillId="0" borderId="15" xfId="0" applyNumberFormat="1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 horizontal="center"/>
      <protection locked="0"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 hidden="1" locked="0"/>
    </xf>
    <xf numFmtId="0" fontId="8" fillId="33" borderId="14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" fontId="8" fillId="0" borderId="15" xfId="0" applyNumberFormat="1" applyFont="1" applyBorder="1" applyAlignment="1" applyProtection="1">
      <alignment horizontal="center"/>
      <protection hidden="1"/>
    </xf>
    <xf numFmtId="2" fontId="8" fillId="0" borderId="15" xfId="0" applyNumberFormat="1" applyFont="1" applyBorder="1" applyAlignment="1" applyProtection="1">
      <alignment horizontal="center"/>
      <protection hidden="1"/>
    </xf>
    <xf numFmtId="3" fontId="6" fillId="34" borderId="14" xfId="0" applyNumberFormat="1" applyFont="1" applyFill="1" applyBorder="1" applyAlignment="1">
      <alignment horizontal="center"/>
    </xf>
    <xf numFmtId="2" fontId="11" fillId="33" borderId="24" xfId="0" applyNumberFormat="1" applyFont="1" applyFill="1" applyBorder="1" applyAlignment="1" applyProtection="1">
      <alignment horizontal="center"/>
      <protection hidden="1" locked="0"/>
    </xf>
    <xf numFmtId="0" fontId="8" fillId="33" borderId="24" xfId="0" applyFont="1" applyFill="1" applyBorder="1" applyAlignment="1">
      <alignment horizontal="center"/>
    </xf>
    <xf numFmtId="2" fontId="6" fillId="33" borderId="24" xfId="0" applyNumberFormat="1" applyFont="1" applyFill="1" applyBorder="1" applyAlignment="1" applyProtection="1">
      <alignment horizontal="center"/>
      <protection hidden="1"/>
    </xf>
    <xf numFmtId="0" fontId="8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8" fillId="33" borderId="22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2" fontId="15" fillId="33" borderId="22" xfId="0" applyNumberFormat="1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1" fontId="8" fillId="34" borderId="14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164" fontId="18" fillId="34" borderId="0" xfId="0" applyNumberFormat="1" applyFont="1" applyFill="1" applyBorder="1" applyAlignment="1" applyProtection="1">
      <alignment/>
      <protection hidden="1"/>
    </xf>
    <xf numFmtId="0" fontId="19" fillId="0" borderId="15" xfId="0" applyFont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2" fontId="16" fillId="34" borderId="0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18" fillId="34" borderId="0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4" fontId="6" fillId="0" borderId="15" xfId="0" applyNumberFormat="1" applyFont="1" applyBorder="1" applyAlignment="1" applyProtection="1">
      <alignment horizontal="center" vertical="center"/>
      <protection hidden="1"/>
    </xf>
    <xf numFmtId="0" fontId="18" fillId="34" borderId="13" xfId="0" applyFont="1" applyFill="1" applyBorder="1" applyAlignment="1">
      <alignment/>
    </xf>
    <xf numFmtId="0" fontId="6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2" fontId="16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5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7" borderId="25" xfId="0" applyFont="1" applyFill="1" applyBorder="1" applyAlignment="1">
      <alignment horizontal="left"/>
    </xf>
    <xf numFmtId="0" fontId="8" fillId="37" borderId="16" xfId="0" applyFont="1" applyFill="1" applyBorder="1" applyAlignment="1">
      <alignment horizontal="left"/>
    </xf>
    <xf numFmtId="0" fontId="8" fillId="37" borderId="17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8" fillId="35" borderId="25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4" fillId="38" borderId="25" xfId="0" applyFont="1" applyFill="1" applyBorder="1" applyAlignment="1">
      <alignment horizontal="center"/>
    </xf>
    <xf numFmtId="0" fontId="14" fillId="38" borderId="17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25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1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15" fillId="33" borderId="13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2" fontId="14" fillId="38" borderId="25" xfId="0" applyNumberFormat="1" applyFont="1" applyFill="1" applyBorder="1" applyAlignment="1" applyProtection="1">
      <alignment horizontal="center" vertical="center"/>
      <protection hidden="1"/>
    </xf>
    <xf numFmtId="2" fontId="14" fillId="38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/>
      <protection/>
    </xf>
    <xf numFmtId="0" fontId="14" fillId="38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5.emf" /><Relationship Id="rId3" Type="http://schemas.openxmlformats.org/officeDocument/2006/relationships/image" Target="../media/image14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10.emf" /><Relationship Id="rId8" Type="http://schemas.openxmlformats.org/officeDocument/2006/relationships/image" Target="../media/image4.emf" /><Relationship Id="rId9" Type="http://schemas.openxmlformats.org/officeDocument/2006/relationships/image" Target="../media/image9.emf" /><Relationship Id="rId10" Type="http://schemas.openxmlformats.org/officeDocument/2006/relationships/image" Target="../media/image8.emf" /><Relationship Id="rId11" Type="http://schemas.openxmlformats.org/officeDocument/2006/relationships/image" Target="../media/image7.emf" /><Relationship Id="rId12" Type="http://schemas.openxmlformats.org/officeDocument/2006/relationships/image" Target="../media/image1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7</xdr:row>
      <xdr:rowOff>28575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67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16</xdr:row>
      <xdr:rowOff>19050</xdr:rowOff>
    </xdr:from>
    <xdr:to>
      <xdr:col>7</xdr:col>
      <xdr:colOff>228600</xdr:colOff>
      <xdr:row>17</xdr:row>
      <xdr:rowOff>9525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6384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17</xdr:row>
      <xdr:rowOff>38100</xdr:rowOff>
    </xdr:from>
    <xdr:to>
      <xdr:col>7</xdr:col>
      <xdr:colOff>228600</xdr:colOff>
      <xdr:row>18</xdr:row>
      <xdr:rowOff>19050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28289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18</xdr:row>
      <xdr:rowOff>19050</xdr:rowOff>
    </xdr:from>
    <xdr:to>
      <xdr:col>7</xdr:col>
      <xdr:colOff>228600</xdr:colOff>
      <xdr:row>19</xdr:row>
      <xdr:rowOff>9525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29813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21</xdr:row>
      <xdr:rowOff>19050</xdr:rowOff>
    </xdr:from>
    <xdr:to>
      <xdr:col>7</xdr:col>
      <xdr:colOff>228600</xdr:colOff>
      <xdr:row>22</xdr:row>
      <xdr:rowOff>0</xdr:rowOff>
    </xdr:to>
    <xdr:pic>
      <xdr:nvPicPr>
        <xdr:cNvPr id="5" name="OptionButton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52925" y="34956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22</xdr:row>
      <xdr:rowOff>0</xdr:rowOff>
    </xdr:from>
    <xdr:to>
      <xdr:col>7</xdr:col>
      <xdr:colOff>228600</xdr:colOff>
      <xdr:row>22</xdr:row>
      <xdr:rowOff>114300</xdr:rowOff>
    </xdr:to>
    <xdr:pic>
      <xdr:nvPicPr>
        <xdr:cNvPr id="6" name="OptionButton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52925" y="364807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23</xdr:row>
      <xdr:rowOff>9525</xdr:rowOff>
    </xdr:from>
    <xdr:to>
      <xdr:col>7</xdr:col>
      <xdr:colOff>228600</xdr:colOff>
      <xdr:row>23</xdr:row>
      <xdr:rowOff>123825</xdr:rowOff>
    </xdr:to>
    <xdr:pic>
      <xdr:nvPicPr>
        <xdr:cNvPr id="7" name="OptionButton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52925" y="382905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12</xdr:row>
      <xdr:rowOff>38100</xdr:rowOff>
    </xdr:from>
    <xdr:to>
      <xdr:col>7</xdr:col>
      <xdr:colOff>238125</xdr:colOff>
      <xdr:row>13</xdr:row>
      <xdr:rowOff>19050</xdr:rowOff>
    </xdr:to>
    <xdr:pic>
      <xdr:nvPicPr>
        <xdr:cNvPr id="8" name="OptionButton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52925" y="1981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13</xdr:row>
      <xdr:rowOff>19050</xdr:rowOff>
    </xdr:from>
    <xdr:to>
      <xdr:col>7</xdr:col>
      <xdr:colOff>219075</xdr:colOff>
      <xdr:row>14</xdr:row>
      <xdr:rowOff>9525</xdr:rowOff>
    </xdr:to>
    <xdr:pic>
      <xdr:nvPicPr>
        <xdr:cNvPr id="9" name="OptionButton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2925" y="21336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26</xdr:row>
      <xdr:rowOff>19050</xdr:rowOff>
    </xdr:from>
    <xdr:to>
      <xdr:col>7</xdr:col>
      <xdr:colOff>228600</xdr:colOff>
      <xdr:row>27</xdr:row>
      <xdr:rowOff>9525</xdr:rowOff>
    </xdr:to>
    <xdr:pic>
      <xdr:nvPicPr>
        <xdr:cNvPr id="10" name="OptionButton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52925" y="4352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27</xdr:row>
      <xdr:rowOff>28575</xdr:rowOff>
    </xdr:from>
    <xdr:to>
      <xdr:col>7</xdr:col>
      <xdr:colOff>228600</xdr:colOff>
      <xdr:row>28</xdr:row>
      <xdr:rowOff>9525</xdr:rowOff>
    </xdr:to>
    <xdr:pic>
      <xdr:nvPicPr>
        <xdr:cNvPr id="11" name="OptionButton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52925" y="45339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28</xdr:row>
      <xdr:rowOff>19050</xdr:rowOff>
    </xdr:from>
    <xdr:to>
      <xdr:col>7</xdr:col>
      <xdr:colOff>228600</xdr:colOff>
      <xdr:row>29</xdr:row>
      <xdr:rowOff>9525</xdr:rowOff>
    </xdr:to>
    <xdr:pic>
      <xdr:nvPicPr>
        <xdr:cNvPr id="12" name="OptionButton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52925" y="46958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29</xdr:row>
      <xdr:rowOff>28575</xdr:rowOff>
    </xdr:from>
    <xdr:to>
      <xdr:col>7</xdr:col>
      <xdr:colOff>228600</xdr:colOff>
      <xdr:row>30</xdr:row>
      <xdr:rowOff>9525</xdr:rowOff>
    </xdr:to>
    <xdr:pic>
      <xdr:nvPicPr>
        <xdr:cNvPr id="13" name="OptionButton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52925" y="48768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56</xdr:row>
      <xdr:rowOff>28575</xdr:rowOff>
    </xdr:from>
    <xdr:to>
      <xdr:col>1</xdr:col>
      <xdr:colOff>238125</xdr:colOff>
      <xdr:row>57</xdr:row>
      <xdr:rowOff>9525</xdr:rowOff>
    </xdr:to>
    <xdr:pic>
      <xdr:nvPicPr>
        <xdr:cNvPr id="14" name="OptionButton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5275" y="95345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57</xdr:row>
      <xdr:rowOff>19050</xdr:rowOff>
    </xdr:from>
    <xdr:to>
      <xdr:col>1</xdr:col>
      <xdr:colOff>238125</xdr:colOff>
      <xdr:row>58</xdr:row>
      <xdr:rowOff>9525</xdr:rowOff>
    </xdr:to>
    <xdr:pic>
      <xdr:nvPicPr>
        <xdr:cNvPr id="15" name="OptionButton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96869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40</xdr:row>
      <xdr:rowOff>9525</xdr:rowOff>
    </xdr:from>
    <xdr:to>
      <xdr:col>7</xdr:col>
      <xdr:colOff>238125</xdr:colOff>
      <xdr:row>40</xdr:row>
      <xdr:rowOff>123825</xdr:rowOff>
    </xdr:to>
    <xdr:pic>
      <xdr:nvPicPr>
        <xdr:cNvPr id="16" name="OptionButton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62450" y="67627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41</xdr:row>
      <xdr:rowOff>19050</xdr:rowOff>
    </xdr:from>
    <xdr:to>
      <xdr:col>7</xdr:col>
      <xdr:colOff>238125</xdr:colOff>
      <xdr:row>42</xdr:row>
      <xdr:rowOff>0</xdr:rowOff>
    </xdr:to>
    <xdr:pic>
      <xdr:nvPicPr>
        <xdr:cNvPr id="17" name="OptionButton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62450" y="69437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5314950</xdr:colOff>
      <xdr:row>0</xdr:row>
      <xdr:rowOff>1057275</xdr:rowOff>
    </xdr:to>
    <xdr:pic>
      <xdr:nvPicPr>
        <xdr:cNvPr id="1" name="3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AE74"/>
  <sheetViews>
    <sheetView showZeros="0" tabSelected="1" zoomScalePageLayoutView="0" workbookViewId="0" topLeftCell="A1">
      <selection activeCell="B8" sqref="B8"/>
    </sheetView>
  </sheetViews>
  <sheetFormatPr defaultColWidth="11.421875" defaultRowHeight="12.75"/>
  <cols>
    <col min="1" max="1" width="2.8515625" style="7" customWidth="1"/>
    <col min="2" max="2" width="5.7109375" style="7" customWidth="1"/>
    <col min="3" max="3" width="21.57421875" style="7" customWidth="1"/>
    <col min="4" max="4" width="12.7109375" style="8" customWidth="1"/>
    <col min="5" max="5" width="6.57421875" style="8" customWidth="1"/>
    <col min="6" max="6" width="9.140625" style="7" customWidth="1"/>
    <col min="7" max="7" width="5.421875" style="9" customWidth="1"/>
    <col min="8" max="8" width="5.57421875" style="7" customWidth="1"/>
    <col min="9" max="9" width="11.57421875" style="7" customWidth="1"/>
    <col min="10" max="10" width="19.28125" style="7" customWidth="1"/>
    <col min="11" max="12" width="5.7109375" style="10" customWidth="1"/>
    <col min="13" max="13" width="15.7109375" style="11" customWidth="1"/>
    <col min="14" max="14" width="9.7109375" style="11" customWidth="1"/>
    <col min="15" max="15" width="8.140625" style="11" customWidth="1"/>
    <col min="16" max="16" width="10.421875" style="11" customWidth="1"/>
    <col min="17" max="17" width="7.140625" style="11" customWidth="1"/>
    <col min="18" max="18" width="10.421875" style="11" customWidth="1"/>
    <col min="19" max="21" width="7.140625" style="11" customWidth="1"/>
    <col min="22" max="25" width="7.140625" style="7" customWidth="1"/>
    <col min="26" max="28" width="11.57421875" style="7" customWidth="1"/>
    <col min="29" max="29" width="11.421875" style="12" hidden="1" customWidth="1"/>
    <col min="30" max="16384" width="11.57421875" style="7" customWidth="1"/>
  </cols>
  <sheetData>
    <row r="1" ht="14.25"/>
    <row r="2" ht="14.25"/>
    <row r="3" ht="11.25" customHeight="1"/>
    <row r="4" ht="11.25" customHeight="1"/>
    <row r="5" ht="10.5" customHeight="1"/>
    <row r="6" ht="10.5" customHeight="1"/>
    <row r="7" ht="14.25"/>
    <row r="8" spans="1:11" ht="14.25">
      <c r="A8" s="13"/>
      <c r="B8" s="14"/>
      <c r="C8" s="14"/>
      <c r="D8" s="15"/>
      <c r="E8" s="15"/>
      <c r="F8" s="14"/>
      <c r="G8" s="14"/>
      <c r="H8" s="16"/>
      <c r="I8" s="14"/>
      <c r="J8" s="14"/>
      <c r="K8" s="17"/>
    </row>
    <row r="9" spans="1:14" ht="12.75" customHeight="1">
      <c r="A9" s="18"/>
      <c r="B9" s="19"/>
      <c r="C9" s="20" t="s">
        <v>0</v>
      </c>
      <c r="D9" s="21" t="s">
        <v>76</v>
      </c>
      <c r="E9" s="22"/>
      <c r="F9" s="23"/>
      <c r="G9" s="23"/>
      <c r="H9" s="24"/>
      <c r="I9" s="19"/>
      <c r="J9" s="19"/>
      <c r="K9" s="25"/>
      <c r="M9" s="197" t="s">
        <v>99</v>
      </c>
      <c r="N9" s="198"/>
    </row>
    <row r="10" spans="1:13" ht="12.75" customHeight="1">
      <c r="A10" s="18"/>
      <c r="B10" s="19"/>
      <c r="C10" s="20" t="s">
        <v>1</v>
      </c>
      <c r="D10" s="27" t="s">
        <v>114</v>
      </c>
      <c r="E10" s="28"/>
      <c r="F10" s="28"/>
      <c r="G10" s="29"/>
      <c r="H10" s="19"/>
      <c r="I10" s="19"/>
      <c r="J10" s="19"/>
      <c r="K10" s="30"/>
      <c r="M10" s="31"/>
    </row>
    <row r="11" spans="1:13" ht="13.5">
      <c r="A11" s="18"/>
      <c r="B11" s="19"/>
      <c r="C11" s="19"/>
      <c r="D11" s="28"/>
      <c r="E11" s="28"/>
      <c r="F11" s="28"/>
      <c r="G11" s="29"/>
      <c r="H11" s="19"/>
      <c r="I11" s="19"/>
      <c r="J11" s="19"/>
      <c r="K11" s="30"/>
      <c r="M11" s="31"/>
    </row>
    <row r="12" spans="1:29" ht="13.5">
      <c r="A12" s="18"/>
      <c r="B12" s="177" t="s">
        <v>61</v>
      </c>
      <c r="C12" s="178"/>
      <c r="D12" s="32">
        <f>IF(AC13=TRUE,J13,IF(AC14=TRUE,J14))</f>
        <v>8</v>
      </c>
      <c r="E12" s="33" t="s">
        <v>2</v>
      </c>
      <c r="F12" s="19"/>
      <c r="G12" s="19"/>
      <c r="H12" s="24"/>
      <c r="I12" s="179" t="s">
        <v>62</v>
      </c>
      <c r="J12" s="180"/>
      <c r="K12" s="34"/>
      <c r="M12" s="199" t="s">
        <v>80</v>
      </c>
      <c r="N12" s="31" t="s">
        <v>68</v>
      </c>
      <c r="O12" s="31" t="s">
        <v>77</v>
      </c>
      <c r="P12" s="31" t="s">
        <v>60</v>
      </c>
      <c r="AC12" s="36"/>
    </row>
    <row r="13" spans="1:29" ht="13.5">
      <c r="A13" s="18"/>
      <c r="B13" s="164" t="s">
        <v>5</v>
      </c>
      <c r="C13" s="165"/>
      <c r="D13" s="39">
        <v>9</v>
      </c>
      <c r="E13" s="40" t="s">
        <v>6</v>
      </c>
      <c r="F13" s="19"/>
      <c r="G13" s="19"/>
      <c r="H13" s="41"/>
      <c r="I13" s="42" t="s">
        <v>3</v>
      </c>
      <c r="J13" s="43">
        <v>5</v>
      </c>
      <c r="K13" s="34"/>
      <c r="M13" s="199"/>
      <c r="N13" s="44">
        <v>2</v>
      </c>
      <c r="O13" s="44">
        <f>D13</f>
        <v>9</v>
      </c>
      <c r="P13" s="45">
        <f>D12*N13</f>
        <v>16</v>
      </c>
      <c r="Q13" s="46"/>
      <c r="AC13" s="12" t="b">
        <v>0</v>
      </c>
    </row>
    <row r="14" spans="1:29" ht="13.5">
      <c r="A14" s="18"/>
      <c r="B14" s="164" t="s">
        <v>97</v>
      </c>
      <c r="C14" s="165"/>
      <c r="D14" s="47">
        <f>F14*D12</f>
        <v>2000</v>
      </c>
      <c r="E14" s="40" t="s">
        <v>98</v>
      </c>
      <c r="F14" s="48">
        <v>250</v>
      </c>
      <c r="G14" s="22" t="s">
        <v>100</v>
      </c>
      <c r="H14" s="41"/>
      <c r="I14" s="42" t="s">
        <v>4</v>
      </c>
      <c r="J14" s="43">
        <v>8</v>
      </c>
      <c r="K14" s="34"/>
      <c r="AC14" s="12" t="b">
        <v>1</v>
      </c>
    </row>
    <row r="15" spans="1:15" ht="13.5">
      <c r="A15" s="18"/>
      <c r="B15" s="175"/>
      <c r="C15" s="176"/>
      <c r="D15" s="51"/>
      <c r="E15" s="52"/>
      <c r="F15" s="19"/>
      <c r="G15" s="19"/>
      <c r="H15" s="24"/>
      <c r="I15" s="19"/>
      <c r="J15" s="19"/>
      <c r="K15" s="34"/>
      <c r="M15" s="199" t="s">
        <v>87</v>
      </c>
      <c r="N15" s="35" t="s">
        <v>86</v>
      </c>
      <c r="O15" s="31" t="s">
        <v>85</v>
      </c>
    </row>
    <row r="16" spans="1:31" ht="12.75" customHeight="1">
      <c r="A16" s="18"/>
      <c r="B16" s="164" t="s">
        <v>70</v>
      </c>
      <c r="C16" s="165"/>
      <c r="D16" s="53">
        <v>2</v>
      </c>
      <c r="E16" s="40" t="s">
        <v>69</v>
      </c>
      <c r="F16" s="19"/>
      <c r="G16" s="19"/>
      <c r="H16" s="24"/>
      <c r="I16" s="179" t="s">
        <v>11</v>
      </c>
      <c r="J16" s="180"/>
      <c r="K16" s="25"/>
      <c r="M16" s="199"/>
      <c r="N16" s="35" t="s">
        <v>89</v>
      </c>
      <c r="O16" s="54" t="s">
        <v>88</v>
      </c>
      <c r="AE16" s="55"/>
    </row>
    <row r="17" spans="1:13" ht="13.5">
      <c r="A17" s="18"/>
      <c r="B17" s="175"/>
      <c r="C17" s="176"/>
      <c r="D17" s="53">
        <f>D12*D16</f>
        <v>16</v>
      </c>
      <c r="E17" s="40" t="s">
        <v>7</v>
      </c>
      <c r="F17" s="19"/>
      <c r="G17" s="19"/>
      <c r="H17" s="41"/>
      <c r="I17" s="42" t="s">
        <v>3</v>
      </c>
      <c r="J17" s="56">
        <v>0.6</v>
      </c>
      <c r="K17" s="34"/>
      <c r="M17" s="31"/>
    </row>
    <row r="18" spans="1:29" ht="13.5">
      <c r="A18" s="18"/>
      <c r="B18" s="49"/>
      <c r="C18" s="50"/>
      <c r="D18" s="53">
        <f>D17*1.36</f>
        <v>21.76</v>
      </c>
      <c r="E18" s="40" t="s">
        <v>12</v>
      </c>
      <c r="F18" s="19"/>
      <c r="G18" s="19"/>
      <c r="H18" s="41"/>
      <c r="I18" s="42" t="s">
        <v>13</v>
      </c>
      <c r="J18" s="56">
        <v>0.7</v>
      </c>
      <c r="K18" s="34"/>
      <c r="M18" s="200" t="s">
        <v>8</v>
      </c>
      <c r="N18" s="200"/>
      <c r="O18" s="31"/>
      <c r="P18" s="31"/>
      <c r="Q18" s="57"/>
      <c r="R18" s="57"/>
      <c r="S18" s="57"/>
      <c r="AC18" s="12" t="b">
        <v>0</v>
      </c>
    </row>
    <row r="19" spans="1:29" ht="13.5">
      <c r="A19" s="18"/>
      <c r="B19" s="164" t="s">
        <v>83</v>
      </c>
      <c r="C19" s="165"/>
      <c r="D19" s="53">
        <f>D18/0.75</f>
        <v>29.013333333333335</v>
      </c>
      <c r="E19" s="40" t="s">
        <v>12</v>
      </c>
      <c r="F19" s="19"/>
      <c r="G19" s="19"/>
      <c r="H19" s="41"/>
      <c r="I19" s="42" t="s">
        <v>4</v>
      </c>
      <c r="J19" s="56">
        <v>0.8</v>
      </c>
      <c r="K19" s="34"/>
      <c r="N19" s="11" t="s">
        <v>10</v>
      </c>
      <c r="O19" s="31"/>
      <c r="P19" s="31"/>
      <c r="Q19" s="57"/>
      <c r="R19" s="57"/>
      <c r="S19" s="57"/>
      <c r="AC19" s="12" t="b">
        <v>1</v>
      </c>
    </row>
    <row r="20" spans="1:29" ht="13.5">
      <c r="A20" s="18"/>
      <c r="B20" s="37"/>
      <c r="C20" s="38"/>
      <c r="D20" s="53"/>
      <c r="E20" s="40"/>
      <c r="F20" s="19"/>
      <c r="G20" s="19"/>
      <c r="H20" s="24"/>
      <c r="I20" s="19"/>
      <c r="J20" s="19"/>
      <c r="K20" s="34"/>
      <c r="L20" s="58"/>
      <c r="M20" s="11" t="s">
        <v>81</v>
      </c>
      <c r="N20" s="31" t="s">
        <v>78</v>
      </c>
      <c r="O20" s="31"/>
      <c r="Q20" s="57"/>
      <c r="R20" s="57"/>
      <c r="S20" s="57"/>
      <c r="AC20" s="12" t="b">
        <v>0</v>
      </c>
    </row>
    <row r="21" spans="1:19" ht="13.5">
      <c r="A21" s="18"/>
      <c r="B21" s="164" t="s">
        <v>14</v>
      </c>
      <c r="C21" s="165"/>
      <c r="D21" s="59">
        <f>10/(D13*D12)</f>
        <v>0.1388888888888889</v>
      </c>
      <c r="E21" s="40" t="s">
        <v>15</v>
      </c>
      <c r="F21" s="19"/>
      <c r="G21" s="19"/>
      <c r="H21" s="24"/>
      <c r="I21" s="179" t="s">
        <v>18</v>
      </c>
      <c r="J21" s="180"/>
      <c r="K21" s="34"/>
      <c r="L21" s="58"/>
      <c r="M21" s="11" t="s">
        <v>82</v>
      </c>
      <c r="N21" s="31" t="s">
        <v>79</v>
      </c>
      <c r="O21" s="31"/>
      <c r="P21" s="31"/>
      <c r="Q21" s="57"/>
      <c r="R21" s="57"/>
      <c r="S21" s="57"/>
    </row>
    <row r="22" spans="1:16" ht="13.5">
      <c r="A22" s="18"/>
      <c r="B22" s="164" t="s">
        <v>16</v>
      </c>
      <c r="C22" s="165"/>
      <c r="D22" s="39">
        <f>IF(AC18=TRUE,J17,IF(AC19=TRUE,J18,IF(AC20=TRUE,J19)))</f>
        <v>0.7</v>
      </c>
      <c r="E22" s="60"/>
      <c r="F22" s="19"/>
      <c r="G22" s="19"/>
      <c r="H22" s="41"/>
      <c r="I22" s="42" t="s">
        <v>20</v>
      </c>
      <c r="J22" s="56">
        <v>25</v>
      </c>
      <c r="K22" s="34"/>
      <c r="L22" s="58"/>
      <c r="M22" s="31"/>
      <c r="N22" s="57"/>
      <c r="O22" s="57"/>
      <c r="P22" s="57"/>
    </row>
    <row r="23" spans="1:29" ht="13.5">
      <c r="A23" s="18"/>
      <c r="B23" s="188" t="s">
        <v>17</v>
      </c>
      <c r="C23" s="189"/>
      <c r="D23" s="62">
        <f>D21/D22</f>
        <v>0.19841269841269843</v>
      </c>
      <c r="E23" s="63" t="s">
        <v>15</v>
      </c>
      <c r="F23" s="19"/>
      <c r="G23" s="19"/>
      <c r="H23" s="41"/>
      <c r="I23" s="42" t="s">
        <v>21</v>
      </c>
      <c r="J23" s="56">
        <v>50</v>
      </c>
      <c r="K23" s="34"/>
      <c r="L23" s="58"/>
      <c r="M23" s="31"/>
      <c r="N23" s="57"/>
      <c r="O23" s="57"/>
      <c r="P23" s="57"/>
      <c r="AC23" s="12" t="b">
        <v>1</v>
      </c>
    </row>
    <row r="24" spans="1:29" ht="13.5">
      <c r="A24" s="18"/>
      <c r="B24" s="64"/>
      <c r="C24" s="65"/>
      <c r="D24" s="62">
        <f>1/D23</f>
        <v>5.039999999999999</v>
      </c>
      <c r="E24" s="63" t="s">
        <v>19</v>
      </c>
      <c r="F24" s="19"/>
      <c r="G24" s="19"/>
      <c r="H24" s="41"/>
      <c r="I24" s="42" t="s">
        <v>24</v>
      </c>
      <c r="J24" s="56">
        <v>75</v>
      </c>
      <c r="K24" s="34"/>
      <c r="M24" s="190" t="s">
        <v>103</v>
      </c>
      <c r="N24" s="190"/>
      <c r="O24" s="190"/>
      <c r="AC24" s="12" t="b">
        <v>0</v>
      </c>
    </row>
    <row r="25" spans="1:29" ht="13.5">
      <c r="A25" s="18"/>
      <c r="B25" s="64"/>
      <c r="C25" s="66"/>
      <c r="D25" s="39"/>
      <c r="E25" s="60"/>
      <c r="F25" s="19"/>
      <c r="G25" s="19"/>
      <c r="H25" s="24"/>
      <c r="I25" s="19"/>
      <c r="J25" s="19"/>
      <c r="K25" s="25"/>
      <c r="L25" s="58"/>
      <c r="M25" s="191" t="s">
        <v>91</v>
      </c>
      <c r="N25" s="31">
        <f>D30</f>
        <v>120</v>
      </c>
      <c r="O25" s="11" t="s">
        <v>12</v>
      </c>
      <c r="AC25" s="12" t="b">
        <v>0</v>
      </c>
    </row>
    <row r="26" spans="1:20" ht="13.5">
      <c r="A26" s="18"/>
      <c r="B26" s="164" t="s">
        <v>23</v>
      </c>
      <c r="C26" s="165"/>
      <c r="D26" s="39">
        <f>IF(AC23=TRUE,J22,IF(AC24=TRUE,J23,IF(AC25=TRUE,J24)))</f>
        <v>25</v>
      </c>
      <c r="E26" s="40" t="s">
        <v>9</v>
      </c>
      <c r="F26" s="19"/>
      <c r="G26" s="19"/>
      <c r="H26" s="24"/>
      <c r="I26" s="179" t="s">
        <v>27</v>
      </c>
      <c r="J26" s="180"/>
      <c r="K26" s="34"/>
      <c r="L26" s="58"/>
      <c r="M26" s="191"/>
      <c r="N26" s="67">
        <f>N25/1.36</f>
        <v>88.23529411764706</v>
      </c>
      <c r="O26" s="11" t="s">
        <v>7</v>
      </c>
      <c r="P26" s="68"/>
      <c r="Q26" s="186" t="s">
        <v>104</v>
      </c>
      <c r="R26" s="186"/>
      <c r="S26" s="68"/>
      <c r="T26" s="68"/>
    </row>
    <row r="27" spans="1:20" ht="13.5">
      <c r="A27" s="18"/>
      <c r="B27" s="164" t="s">
        <v>25</v>
      </c>
      <c r="C27" s="165"/>
      <c r="D27" s="53">
        <f>D19*100/D26</f>
        <v>116.05333333333334</v>
      </c>
      <c r="E27" s="40" t="s">
        <v>12</v>
      </c>
      <c r="F27" s="19"/>
      <c r="G27" s="19"/>
      <c r="H27" s="41"/>
      <c r="I27" s="69" t="s">
        <v>28</v>
      </c>
      <c r="J27" s="70">
        <v>90</v>
      </c>
      <c r="K27" s="34"/>
      <c r="L27" s="58"/>
      <c r="M27" s="187" t="s">
        <v>105</v>
      </c>
      <c r="N27" s="31">
        <v>400</v>
      </c>
      <c r="O27" s="11" t="s">
        <v>64</v>
      </c>
      <c r="Q27" s="186"/>
      <c r="R27" s="186"/>
      <c r="S27" s="67"/>
      <c r="T27" s="67"/>
    </row>
    <row r="28" spans="1:29" ht="13.5">
      <c r="A28" s="18"/>
      <c r="B28" s="71"/>
      <c r="C28" s="72"/>
      <c r="D28" s="39"/>
      <c r="E28" s="60"/>
      <c r="F28" s="19"/>
      <c r="G28" s="19"/>
      <c r="H28" s="41"/>
      <c r="I28" s="42" t="s">
        <v>29</v>
      </c>
      <c r="J28" s="56">
        <v>120</v>
      </c>
      <c r="K28" s="34"/>
      <c r="L28" s="58"/>
      <c r="M28" s="187"/>
      <c r="N28" s="73">
        <f>N26*N27</f>
        <v>35294.117647058825</v>
      </c>
      <c r="O28" s="11" t="s">
        <v>47</v>
      </c>
      <c r="Q28" s="67" t="s">
        <v>22</v>
      </c>
      <c r="R28" s="74" t="s">
        <v>106</v>
      </c>
      <c r="S28" s="74"/>
      <c r="T28" s="74"/>
      <c r="AC28" s="12" t="b">
        <v>0</v>
      </c>
    </row>
    <row r="29" spans="1:29" ht="13.5">
      <c r="A29" s="18"/>
      <c r="B29" s="164" t="s">
        <v>90</v>
      </c>
      <c r="C29" s="165"/>
      <c r="D29" s="39" t="str">
        <f>IF(AC28=TRUE,"Pequeño",IF(AC29=TRUE,"Mediano",IF(AC30=TRUE,"Grande",IF(AC31=TRUE,"Muy Grande",))))</f>
        <v>Mediano</v>
      </c>
      <c r="E29" s="40"/>
      <c r="F29" s="19"/>
      <c r="G29" s="19"/>
      <c r="H29" s="41"/>
      <c r="I29" s="42" t="s">
        <v>30</v>
      </c>
      <c r="J29" s="56">
        <v>150</v>
      </c>
      <c r="K29" s="34"/>
      <c r="L29" s="58"/>
      <c r="M29" s="187" t="s">
        <v>107</v>
      </c>
      <c r="N29" s="73">
        <v>12000</v>
      </c>
      <c r="O29" s="11" t="s">
        <v>63</v>
      </c>
      <c r="Q29" s="73">
        <v>500</v>
      </c>
      <c r="R29" s="67">
        <f>$N$28/$N$29+$N$28/($N$30*Q29)+($N$28*$N$31*0.6)/(Q29*100)+($N$28*(($N$32+$N$33)/(Q29*100)))+$N$26*$N$35*$N$34</f>
        <v>11.44705882352941</v>
      </c>
      <c r="S29" s="31"/>
      <c r="T29" s="31"/>
      <c r="V29" s="10"/>
      <c r="W29" s="10"/>
      <c r="X29" s="10"/>
      <c r="Y29" s="10"/>
      <c r="Z29" s="10"/>
      <c r="AA29" s="10"/>
      <c r="AC29" s="12" t="b">
        <v>1</v>
      </c>
    </row>
    <row r="30" spans="1:29" ht="12.75" customHeight="1">
      <c r="A30" s="18"/>
      <c r="B30" s="164" t="s">
        <v>91</v>
      </c>
      <c r="C30" s="165"/>
      <c r="D30" s="39">
        <f>IF(AC28=TRUE,J27,IF(AC29=TRUE,J28,IF(AC30=TRUE,J29,IF(AC31=TRUE,J30,""))))</f>
        <v>120</v>
      </c>
      <c r="E30" s="40" t="s">
        <v>12</v>
      </c>
      <c r="F30" s="19"/>
      <c r="G30" s="19"/>
      <c r="H30" s="41"/>
      <c r="I30" s="42" t="s">
        <v>32</v>
      </c>
      <c r="J30" s="56">
        <v>180</v>
      </c>
      <c r="K30" s="25"/>
      <c r="L30" s="58"/>
      <c r="M30" s="187"/>
      <c r="N30" s="31">
        <v>20</v>
      </c>
      <c r="O30" s="11" t="s">
        <v>51</v>
      </c>
      <c r="Q30" s="73">
        <v>1000</v>
      </c>
      <c r="R30" s="67">
        <f>$N$28/$N$29+$N$28/($N$30*Q30)+($N$28*$N$31*0.6)/(Q30*100)+($N$28*(($N$32+$N$33)/(Q30*100)))+$N$26*$N$35*$N$34</f>
        <v>8.51764705882353</v>
      </c>
      <c r="S30" s="74"/>
      <c r="T30" s="74"/>
      <c r="V30" s="10"/>
      <c r="W30" s="10"/>
      <c r="X30" s="10"/>
      <c r="Y30" s="10"/>
      <c r="Z30" s="10"/>
      <c r="AA30" s="10"/>
      <c r="AC30" s="12" t="b">
        <v>0</v>
      </c>
    </row>
    <row r="31" spans="1:29" ht="13.5">
      <c r="A31" s="18"/>
      <c r="B31" s="75"/>
      <c r="C31" s="75"/>
      <c r="D31" s="76"/>
      <c r="E31" s="77"/>
      <c r="F31" s="19"/>
      <c r="G31" s="19"/>
      <c r="H31" s="24"/>
      <c r="I31" s="19"/>
      <c r="J31" s="19"/>
      <c r="K31" s="34"/>
      <c r="L31" s="58"/>
      <c r="M31" s="26" t="s">
        <v>108</v>
      </c>
      <c r="N31" s="78">
        <f>+D48</f>
        <v>5</v>
      </c>
      <c r="O31" s="11" t="s">
        <v>9</v>
      </c>
      <c r="S31" s="74"/>
      <c r="T31" s="74"/>
      <c r="U31" s="57"/>
      <c r="V31" s="79"/>
      <c r="W31" s="79"/>
      <c r="X31" s="79"/>
      <c r="Y31" s="79"/>
      <c r="Z31" s="79"/>
      <c r="AC31" s="12" t="b">
        <v>0</v>
      </c>
    </row>
    <row r="32" spans="1:26" ht="13.5">
      <c r="A32" s="18"/>
      <c r="B32" s="173" t="s">
        <v>31</v>
      </c>
      <c r="C32" s="174"/>
      <c r="D32" s="80"/>
      <c r="E32" s="81"/>
      <c r="F32" s="19"/>
      <c r="G32" s="19"/>
      <c r="H32" s="24"/>
      <c r="I32" s="179" t="s">
        <v>36</v>
      </c>
      <c r="J32" s="180"/>
      <c r="K32" s="34"/>
      <c r="L32" s="58"/>
      <c r="M32" s="26" t="s">
        <v>65</v>
      </c>
      <c r="N32" s="78">
        <v>0.2</v>
      </c>
      <c r="O32" s="11" t="s">
        <v>9</v>
      </c>
      <c r="S32" s="74"/>
      <c r="T32" s="67"/>
      <c r="U32" s="57"/>
      <c r="V32" s="79"/>
      <c r="W32" s="79"/>
      <c r="X32" s="79"/>
      <c r="Y32" s="79"/>
      <c r="Z32" s="79"/>
    </row>
    <row r="33" spans="1:26" ht="13.5">
      <c r="A33" s="18"/>
      <c r="B33" s="164" t="s">
        <v>33</v>
      </c>
      <c r="C33" s="165"/>
      <c r="D33" s="59">
        <f>IF(D26=J22,J34*D30/1.36,IF(D26=J23,J35*D30/1.36,IF(D26=J24,J36*D30/1.36)))</f>
        <v>8.823529411764705</v>
      </c>
      <c r="E33" s="40" t="s">
        <v>34</v>
      </c>
      <c r="F33" s="19"/>
      <c r="G33" s="19"/>
      <c r="H33" s="24"/>
      <c r="I33" s="42" t="s">
        <v>38</v>
      </c>
      <c r="J33" s="70" t="s">
        <v>39</v>
      </c>
      <c r="K33" s="34"/>
      <c r="M33" s="26" t="s">
        <v>66</v>
      </c>
      <c r="N33" s="78">
        <v>0.1</v>
      </c>
      <c r="O33" s="11" t="s">
        <v>9</v>
      </c>
      <c r="S33" s="74"/>
      <c r="T33" s="74"/>
      <c r="U33" s="57"/>
      <c r="V33" s="79"/>
      <c r="W33" s="79"/>
      <c r="X33" s="79"/>
      <c r="Y33" s="79"/>
      <c r="Z33" s="79"/>
    </row>
    <row r="34" spans="1:26" ht="13.5">
      <c r="A34" s="18"/>
      <c r="B34" s="71"/>
      <c r="C34" s="72"/>
      <c r="D34" s="59">
        <f>D33*D23</f>
        <v>1.7507002801120448</v>
      </c>
      <c r="E34" s="40" t="s">
        <v>35</v>
      </c>
      <c r="F34" s="19"/>
      <c r="G34" s="19"/>
      <c r="H34" s="19"/>
      <c r="I34" s="42" t="s">
        <v>3</v>
      </c>
      <c r="J34" s="82">
        <v>0.1</v>
      </c>
      <c r="K34" s="34"/>
      <c r="L34" s="58"/>
      <c r="M34" s="83" t="s">
        <v>109</v>
      </c>
      <c r="N34" s="78">
        <v>0.2</v>
      </c>
      <c r="O34" s="84" t="s">
        <v>41</v>
      </c>
      <c r="U34" s="57"/>
      <c r="V34" s="79"/>
      <c r="W34" s="79"/>
      <c r="X34" s="79"/>
      <c r="Y34" s="79"/>
      <c r="Z34" s="79"/>
    </row>
    <row r="35" spans="1:15" ht="12.75" customHeight="1">
      <c r="A35" s="18"/>
      <c r="B35" s="164" t="s">
        <v>37</v>
      </c>
      <c r="C35" s="165"/>
      <c r="D35" s="85">
        <f>D33*0.1/100</f>
        <v>0.008823529411764706</v>
      </c>
      <c r="E35" s="40" t="s">
        <v>34</v>
      </c>
      <c r="F35" s="19"/>
      <c r="G35" s="19"/>
      <c r="H35" s="19"/>
      <c r="I35" s="42" t="s">
        <v>13</v>
      </c>
      <c r="J35" s="82">
        <v>0.15</v>
      </c>
      <c r="K35" s="25"/>
      <c r="L35" s="58"/>
      <c r="M35" s="83" t="s">
        <v>110</v>
      </c>
      <c r="N35" s="86">
        <v>0.15</v>
      </c>
      <c r="O35" s="84" t="s">
        <v>67</v>
      </c>
    </row>
    <row r="36" spans="1:12" ht="13.5">
      <c r="A36" s="18"/>
      <c r="B36" s="64"/>
      <c r="C36" s="66"/>
      <c r="D36" s="85">
        <f>D34*0.1/100</f>
        <v>0.0017507002801120449</v>
      </c>
      <c r="E36" s="40" t="s">
        <v>35</v>
      </c>
      <c r="F36" s="19"/>
      <c r="G36" s="19"/>
      <c r="H36" s="19"/>
      <c r="I36" s="42" t="s">
        <v>4</v>
      </c>
      <c r="J36" s="82">
        <v>0.207</v>
      </c>
      <c r="K36" s="34"/>
      <c r="L36" s="58"/>
    </row>
    <row r="37" spans="1:12" ht="14.25" thickBot="1">
      <c r="A37" s="18"/>
      <c r="B37" s="164" t="s">
        <v>40</v>
      </c>
      <c r="C37" s="165"/>
      <c r="D37" s="87">
        <v>1</v>
      </c>
      <c r="E37" s="40" t="s">
        <v>41</v>
      </c>
      <c r="F37" s="19"/>
      <c r="G37" s="19"/>
      <c r="H37" s="19"/>
      <c r="I37" s="19"/>
      <c r="J37" s="19"/>
      <c r="K37" s="34"/>
      <c r="L37" s="58"/>
    </row>
    <row r="38" spans="1:11" ht="15.75" customHeight="1" thickTop="1">
      <c r="A38" s="18"/>
      <c r="B38" s="88" t="s">
        <v>42</v>
      </c>
      <c r="C38" s="89"/>
      <c r="D38" s="90">
        <f>D37*D33</f>
        <v>8.823529411764705</v>
      </c>
      <c r="E38" s="91" t="s">
        <v>26</v>
      </c>
      <c r="F38" s="19"/>
      <c r="G38" s="19"/>
      <c r="H38" s="19"/>
      <c r="I38" s="19"/>
      <c r="J38" s="19"/>
      <c r="K38" s="34"/>
    </row>
    <row r="39" spans="1:25" ht="13.5">
      <c r="A39" s="18"/>
      <c r="B39" s="92"/>
      <c r="C39" s="93"/>
      <c r="D39" s="94">
        <f>D34*D37</f>
        <v>1.7507002801120448</v>
      </c>
      <c r="E39" s="95" t="s">
        <v>43</v>
      </c>
      <c r="F39" s="19"/>
      <c r="G39" s="19"/>
      <c r="H39" s="19"/>
      <c r="I39" s="19"/>
      <c r="J39" s="19"/>
      <c r="K39" s="34"/>
      <c r="M39" s="172" t="s">
        <v>71</v>
      </c>
      <c r="N39" s="172" t="s">
        <v>72</v>
      </c>
      <c r="O39" s="172" t="s">
        <v>73</v>
      </c>
      <c r="P39" s="172" t="s">
        <v>84</v>
      </c>
      <c r="Q39" s="172" t="s">
        <v>75</v>
      </c>
      <c r="R39" s="172" t="s">
        <v>74</v>
      </c>
      <c r="U39" s="68"/>
      <c r="V39" s="96"/>
      <c r="W39" s="96"/>
      <c r="X39" s="96"/>
      <c r="Y39" s="97"/>
    </row>
    <row r="40" spans="1:24" ht="13.5">
      <c r="A40" s="18"/>
      <c r="B40" s="19"/>
      <c r="C40" s="19"/>
      <c r="D40" s="98"/>
      <c r="E40" s="22"/>
      <c r="F40" s="19"/>
      <c r="G40" s="19"/>
      <c r="H40" s="19"/>
      <c r="I40" s="183" t="s">
        <v>96</v>
      </c>
      <c r="J40" s="183"/>
      <c r="K40" s="34"/>
      <c r="L40" s="58"/>
      <c r="M40" s="172"/>
      <c r="N40" s="172"/>
      <c r="O40" s="172"/>
      <c r="P40" s="172"/>
      <c r="Q40" s="172"/>
      <c r="R40" s="172"/>
      <c r="U40" s="67"/>
      <c r="V40" s="99"/>
      <c r="W40" s="99"/>
      <c r="X40" s="99"/>
    </row>
    <row r="41" spans="1:24" ht="13.5">
      <c r="A41" s="18"/>
      <c r="B41" s="173" t="s">
        <v>44</v>
      </c>
      <c r="C41" s="174"/>
      <c r="D41" s="80"/>
      <c r="E41" s="100"/>
      <c r="F41" s="101"/>
      <c r="G41" s="102"/>
      <c r="H41" s="103"/>
      <c r="I41" s="42" t="s">
        <v>3</v>
      </c>
      <c r="J41" s="43">
        <v>50</v>
      </c>
      <c r="K41" s="25"/>
      <c r="L41" s="58"/>
      <c r="M41" s="31">
        <v>180</v>
      </c>
      <c r="N41" s="104">
        <v>75</v>
      </c>
      <c r="O41" s="104">
        <f>N41/100*M41</f>
        <v>135</v>
      </c>
      <c r="P41" s="45">
        <f aca="true" t="shared" si="0" ref="P41:P52">0.75*O41</f>
        <v>101.25</v>
      </c>
      <c r="Q41" s="44">
        <f>N$13</f>
        <v>2</v>
      </c>
      <c r="R41" s="105">
        <f>P41/(Q41*1.36)</f>
        <v>37.22426470588235</v>
      </c>
      <c r="U41" s="74"/>
      <c r="V41" s="106"/>
      <c r="W41" s="106"/>
      <c r="X41" s="106"/>
    </row>
    <row r="42" spans="1:24" ht="13.5">
      <c r="A42" s="18"/>
      <c r="B42" s="164" t="s">
        <v>45</v>
      </c>
      <c r="C42" s="165"/>
      <c r="D42" s="39">
        <f>IF(AC47=TRUE,J41,J42)</f>
        <v>50</v>
      </c>
      <c r="E42" s="107" t="s">
        <v>22</v>
      </c>
      <c r="F42" s="66"/>
      <c r="G42" s="108"/>
      <c r="H42" s="103"/>
      <c r="I42" s="42" t="s">
        <v>4</v>
      </c>
      <c r="J42" s="109">
        <v>100</v>
      </c>
      <c r="K42" s="34"/>
      <c r="L42" s="58"/>
      <c r="M42" s="31">
        <v>180</v>
      </c>
      <c r="N42" s="104">
        <v>50</v>
      </c>
      <c r="O42" s="104">
        <f aca="true" t="shared" si="1" ref="O42:O52">N42/100*M42</f>
        <v>90</v>
      </c>
      <c r="P42" s="45">
        <f t="shared" si="0"/>
        <v>67.5</v>
      </c>
      <c r="Q42" s="104">
        <f aca="true" t="shared" si="2" ref="Q42:Q52">N$13</f>
        <v>2</v>
      </c>
      <c r="R42" s="105">
        <f aca="true" t="shared" si="3" ref="R42:R52">P42/(Q42*1.36)</f>
        <v>24.816176470588232</v>
      </c>
      <c r="U42" s="31"/>
      <c r="V42" s="58"/>
      <c r="W42" s="58"/>
      <c r="X42" s="58"/>
    </row>
    <row r="43" spans="1:24" ht="13.5">
      <c r="A43" s="18"/>
      <c r="B43" s="71"/>
      <c r="C43" s="72"/>
      <c r="D43" s="39"/>
      <c r="E43" s="110"/>
      <c r="F43" s="66"/>
      <c r="G43" s="108"/>
      <c r="H43" s="19"/>
      <c r="I43" s="19"/>
      <c r="J43" s="19"/>
      <c r="K43" s="34"/>
      <c r="L43" s="58"/>
      <c r="M43" s="31">
        <v>180</v>
      </c>
      <c r="N43" s="104">
        <v>25</v>
      </c>
      <c r="O43" s="104">
        <f t="shared" si="1"/>
        <v>45</v>
      </c>
      <c r="P43" s="45">
        <f t="shared" si="0"/>
        <v>33.75</v>
      </c>
      <c r="Q43" s="104">
        <f t="shared" si="2"/>
        <v>2</v>
      </c>
      <c r="R43" s="105">
        <f t="shared" si="3"/>
        <v>12.408088235294116</v>
      </c>
      <c r="U43" s="74"/>
      <c r="V43" s="106"/>
      <c r="W43" s="106"/>
      <c r="X43" s="106"/>
    </row>
    <row r="44" spans="1:24" ht="13.5">
      <c r="A44" s="18"/>
      <c r="B44" s="164" t="s">
        <v>46</v>
      </c>
      <c r="C44" s="165"/>
      <c r="D44" s="47">
        <f>F44*D12</f>
        <v>8000</v>
      </c>
      <c r="E44" s="107" t="s">
        <v>47</v>
      </c>
      <c r="F44" s="111">
        <v>1000</v>
      </c>
      <c r="G44" s="40" t="s">
        <v>102</v>
      </c>
      <c r="H44" s="19"/>
      <c r="I44" s="19"/>
      <c r="J44" s="19"/>
      <c r="K44" s="112"/>
      <c r="M44" s="31">
        <v>150</v>
      </c>
      <c r="N44" s="104">
        <v>75</v>
      </c>
      <c r="O44" s="104">
        <f t="shared" si="1"/>
        <v>112.5</v>
      </c>
      <c r="P44" s="45">
        <f t="shared" si="0"/>
        <v>84.375</v>
      </c>
      <c r="Q44" s="44">
        <f>N$13</f>
        <v>2</v>
      </c>
      <c r="R44" s="105">
        <f>P44/(Q44*1.36)</f>
        <v>31.020220588235293</v>
      </c>
      <c r="U44" s="74"/>
      <c r="V44" s="106"/>
      <c r="W44" s="106"/>
      <c r="X44" s="106"/>
    </row>
    <row r="45" spans="1:24" ht="13.5">
      <c r="A45" s="18"/>
      <c r="B45" s="64"/>
      <c r="C45" s="66"/>
      <c r="D45" s="39"/>
      <c r="E45" s="110"/>
      <c r="F45" s="66"/>
      <c r="G45" s="108"/>
      <c r="H45" s="19"/>
      <c r="I45" s="19"/>
      <c r="J45" s="19"/>
      <c r="K45" s="112"/>
      <c r="M45" s="31">
        <v>150</v>
      </c>
      <c r="N45" s="104">
        <v>50</v>
      </c>
      <c r="O45" s="104">
        <f t="shared" si="1"/>
        <v>75</v>
      </c>
      <c r="P45" s="45">
        <f t="shared" si="0"/>
        <v>56.25</v>
      </c>
      <c r="Q45" s="104">
        <f t="shared" si="2"/>
        <v>2</v>
      </c>
      <c r="R45" s="105">
        <f t="shared" si="3"/>
        <v>20.68014705882353</v>
      </c>
      <c r="U45" s="74"/>
      <c r="V45" s="106"/>
      <c r="W45" s="106"/>
      <c r="X45" s="106"/>
    </row>
    <row r="46" spans="1:24" ht="13.5">
      <c r="A46" s="18"/>
      <c r="B46" s="164" t="s">
        <v>48</v>
      </c>
      <c r="C46" s="165"/>
      <c r="D46" s="113">
        <v>800</v>
      </c>
      <c r="E46" s="107" t="s">
        <v>49</v>
      </c>
      <c r="F46" s="59">
        <f>+$D$44/$D46</f>
        <v>10</v>
      </c>
      <c r="G46" s="114" t="s">
        <v>26</v>
      </c>
      <c r="H46" s="19"/>
      <c r="I46" s="19"/>
      <c r="J46" s="19"/>
      <c r="K46" s="112"/>
      <c r="M46" s="31">
        <v>150</v>
      </c>
      <c r="N46" s="104">
        <v>25</v>
      </c>
      <c r="O46" s="104">
        <f t="shared" si="1"/>
        <v>37.5</v>
      </c>
      <c r="P46" s="45">
        <f t="shared" si="0"/>
        <v>28.125</v>
      </c>
      <c r="Q46" s="104">
        <f t="shared" si="2"/>
        <v>2</v>
      </c>
      <c r="R46" s="105">
        <f t="shared" si="3"/>
        <v>10.340073529411764</v>
      </c>
      <c r="U46" s="74"/>
      <c r="V46" s="106"/>
      <c r="W46" s="106"/>
      <c r="X46" s="106"/>
    </row>
    <row r="47" spans="1:29" ht="13.5">
      <c r="A47" s="18"/>
      <c r="B47" s="164" t="s">
        <v>50</v>
      </c>
      <c r="C47" s="165"/>
      <c r="D47" s="113">
        <v>20</v>
      </c>
      <c r="E47" s="107" t="s">
        <v>51</v>
      </c>
      <c r="F47" s="59">
        <f>+$D$44/($D47*D42)</f>
        <v>8</v>
      </c>
      <c r="G47" s="114" t="s">
        <v>26</v>
      </c>
      <c r="H47" s="19"/>
      <c r="I47" s="184" t="str">
        <f>CONCATENATE("Vida útil para ",D42," h/año")</f>
        <v>Vida útil para 50 h/año</v>
      </c>
      <c r="J47" s="185"/>
      <c r="K47" s="25"/>
      <c r="M47" s="31">
        <v>120</v>
      </c>
      <c r="N47" s="104">
        <v>75</v>
      </c>
      <c r="O47" s="104">
        <f t="shared" si="1"/>
        <v>90</v>
      </c>
      <c r="P47" s="45">
        <f t="shared" si="0"/>
        <v>67.5</v>
      </c>
      <c r="Q47" s="44">
        <f>N$13</f>
        <v>2</v>
      </c>
      <c r="R47" s="105">
        <f>P47/(Q47*1.36)</f>
        <v>24.816176470588232</v>
      </c>
      <c r="AC47" s="12" t="b">
        <v>1</v>
      </c>
    </row>
    <row r="48" spans="1:29" ht="13.5">
      <c r="A48" s="18"/>
      <c r="B48" s="164" t="s">
        <v>52</v>
      </c>
      <c r="C48" s="165"/>
      <c r="D48" s="113">
        <v>5</v>
      </c>
      <c r="E48" s="107" t="s">
        <v>9</v>
      </c>
      <c r="F48" s="59">
        <f>+$D$44*0.006*$D48/D42</f>
        <v>4.8</v>
      </c>
      <c r="G48" s="114" t="s">
        <v>26</v>
      </c>
      <c r="H48" s="19"/>
      <c r="I48" s="115" t="s">
        <v>49</v>
      </c>
      <c r="J48" s="116">
        <f>+$D$44/($F$46+$F$47)</f>
        <v>444.44444444444446</v>
      </c>
      <c r="K48" s="34"/>
      <c r="M48" s="31">
        <v>120</v>
      </c>
      <c r="N48" s="104">
        <v>50</v>
      </c>
      <c r="O48" s="104">
        <f t="shared" si="1"/>
        <v>60</v>
      </c>
      <c r="P48" s="45">
        <f t="shared" si="0"/>
        <v>45</v>
      </c>
      <c r="Q48" s="104">
        <f t="shared" si="2"/>
        <v>2</v>
      </c>
      <c r="R48" s="105">
        <f t="shared" si="3"/>
        <v>16.544117647058822</v>
      </c>
      <c r="AC48" s="12" t="b">
        <v>0</v>
      </c>
    </row>
    <row r="49" spans="1:18" ht="13.5">
      <c r="A49" s="18"/>
      <c r="B49" s="164" t="s">
        <v>53</v>
      </c>
      <c r="C49" s="165"/>
      <c r="D49" s="113">
        <v>0.2</v>
      </c>
      <c r="E49" s="107" t="s">
        <v>54</v>
      </c>
      <c r="F49" s="59">
        <f>+$D$44*$D49/(100*D42)</f>
        <v>0.32</v>
      </c>
      <c r="G49" s="114" t="s">
        <v>26</v>
      </c>
      <c r="H49" s="19"/>
      <c r="I49" s="115" t="s">
        <v>51</v>
      </c>
      <c r="J49" s="117">
        <f>+$D$44/($D$42*($F$46+$F$47))</f>
        <v>8.88888888888889</v>
      </c>
      <c r="K49" s="34"/>
      <c r="M49" s="31">
        <v>120</v>
      </c>
      <c r="N49" s="104">
        <v>25</v>
      </c>
      <c r="O49" s="104">
        <f t="shared" si="1"/>
        <v>30</v>
      </c>
      <c r="P49" s="45">
        <f t="shared" si="0"/>
        <v>22.5</v>
      </c>
      <c r="Q49" s="104">
        <f t="shared" si="2"/>
        <v>2</v>
      </c>
      <c r="R49" s="105">
        <f>P49/(Q49*1.36)</f>
        <v>8.272058823529411</v>
      </c>
    </row>
    <row r="50" spans="1:18" ht="13.5">
      <c r="A50" s="18"/>
      <c r="B50" s="164" t="s">
        <v>55</v>
      </c>
      <c r="C50" s="165"/>
      <c r="D50" s="113">
        <v>0.1</v>
      </c>
      <c r="E50" s="107" t="s">
        <v>54</v>
      </c>
      <c r="F50" s="59">
        <f>+$D$44*$D50/(D42*100)</f>
        <v>0.16</v>
      </c>
      <c r="G50" s="114" t="s">
        <v>26</v>
      </c>
      <c r="H50" s="19"/>
      <c r="I50" s="19"/>
      <c r="J50" s="19"/>
      <c r="K50" s="118"/>
      <c r="M50" s="31">
        <v>90</v>
      </c>
      <c r="N50" s="104">
        <v>75</v>
      </c>
      <c r="O50" s="104">
        <f t="shared" si="1"/>
        <v>67.5</v>
      </c>
      <c r="P50" s="45">
        <f t="shared" si="0"/>
        <v>50.625</v>
      </c>
      <c r="Q50" s="44">
        <f>N$13</f>
        <v>2</v>
      </c>
      <c r="R50" s="105">
        <f>P50/(Q50*1.36)</f>
        <v>18.612132352941174</v>
      </c>
    </row>
    <row r="51" spans="1:18" ht="14.25" thickBot="1">
      <c r="A51" s="18"/>
      <c r="B51" s="169" t="s">
        <v>56</v>
      </c>
      <c r="C51" s="170"/>
      <c r="D51" s="119">
        <v>1.1</v>
      </c>
      <c r="E51" s="120" t="s">
        <v>43</v>
      </c>
      <c r="F51" s="121">
        <f>+D51/D23</f>
        <v>5.544</v>
      </c>
      <c r="G51" s="114" t="s">
        <v>26</v>
      </c>
      <c r="H51" s="19"/>
      <c r="I51" s="19"/>
      <c r="J51" s="19"/>
      <c r="K51" s="25"/>
      <c r="M51" s="31">
        <v>90</v>
      </c>
      <c r="N51" s="104">
        <v>50</v>
      </c>
      <c r="O51" s="104">
        <f t="shared" si="1"/>
        <v>45</v>
      </c>
      <c r="P51" s="45">
        <f t="shared" si="0"/>
        <v>33.75</v>
      </c>
      <c r="Q51" s="104">
        <f t="shared" si="2"/>
        <v>2</v>
      </c>
      <c r="R51" s="105">
        <f t="shared" si="3"/>
        <v>12.408088235294116</v>
      </c>
    </row>
    <row r="52" spans="1:18" ht="14.25" thickTop="1">
      <c r="A52" s="18"/>
      <c r="B52" s="61" t="s">
        <v>57</v>
      </c>
      <c r="C52" s="10"/>
      <c r="D52" s="110"/>
      <c r="E52" s="110"/>
      <c r="F52" s="59">
        <f>SUM(F46:F51)</f>
        <v>28.824</v>
      </c>
      <c r="G52" s="122" t="s">
        <v>26</v>
      </c>
      <c r="H52" s="19"/>
      <c r="I52" s="19"/>
      <c r="J52" s="19"/>
      <c r="K52" s="25"/>
      <c r="M52" s="31">
        <v>90</v>
      </c>
      <c r="N52" s="104">
        <v>25</v>
      </c>
      <c r="O52" s="104">
        <f t="shared" si="1"/>
        <v>22.5</v>
      </c>
      <c r="P52" s="45">
        <f t="shared" si="0"/>
        <v>16.875</v>
      </c>
      <c r="Q52" s="104">
        <f t="shared" si="2"/>
        <v>2</v>
      </c>
      <c r="R52" s="105">
        <f t="shared" si="3"/>
        <v>6.204044117647058</v>
      </c>
    </row>
    <row r="53" spans="1:11" ht="13.5">
      <c r="A53" s="18"/>
      <c r="B53" s="123"/>
      <c r="C53" s="124"/>
      <c r="D53" s="125"/>
      <c r="E53" s="125"/>
      <c r="F53" s="126">
        <f>+F52*D23</f>
        <v>5.71904761904762</v>
      </c>
      <c r="G53" s="127" t="s">
        <v>43</v>
      </c>
      <c r="H53" s="19"/>
      <c r="I53" s="19"/>
      <c r="J53" s="19"/>
      <c r="K53" s="128"/>
    </row>
    <row r="54" spans="1:11" ht="13.5">
      <c r="A54" s="18"/>
      <c r="B54" s="19"/>
      <c r="C54" s="19"/>
      <c r="D54" s="22"/>
      <c r="E54" s="22"/>
      <c r="F54" s="19"/>
      <c r="G54" s="24"/>
      <c r="H54" s="19"/>
      <c r="I54" s="19"/>
      <c r="J54" s="19"/>
      <c r="K54" s="129"/>
    </row>
    <row r="55" spans="1:11" ht="13.5">
      <c r="A55" s="18"/>
      <c r="B55" s="171" t="s">
        <v>58</v>
      </c>
      <c r="C55" s="171"/>
      <c r="D55" s="171"/>
      <c r="E55" s="194" t="s">
        <v>101</v>
      </c>
      <c r="F55" s="194"/>
      <c r="G55" s="130"/>
      <c r="H55" s="131"/>
      <c r="I55" s="19"/>
      <c r="J55" s="19"/>
      <c r="K55" s="132"/>
    </row>
    <row r="56" spans="1:11" ht="12.75" customHeight="1">
      <c r="A56" s="18"/>
      <c r="B56" s="162" t="s">
        <v>92</v>
      </c>
      <c r="C56" s="163"/>
      <c r="D56" s="133" t="s">
        <v>93</v>
      </c>
      <c r="E56" s="134" t="s">
        <v>26</v>
      </c>
      <c r="F56" s="134" t="s">
        <v>43</v>
      </c>
      <c r="G56" s="130"/>
      <c r="H56" s="131"/>
      <c r="I56" s="196" t="s">
        <v>115</v>
      </c>
      <c r="J56" s="196"/>
      <c r="K56" s="25"/>
    </row>
    <row r="57" spans="1:11" ht="12.75" customHeight="1">
      <c r="A57" s="18"/>
      <c r="B57" s="42"/>
      <c r="C57" s="42" t="s">
        <v>94</v>
      </c>
      <c r="D57" s="135">
        <f>R29+D38</f>
        <v>20.270588235294113</v>
      </c>
      <c r="E57" s="117">
        <f>IF(AC68=TRUE,D57+F52,D57*0)</f>
        <v>49.09458823529411</v>
      </c>
      <c r="F57" s="136">
        <f>E57*$D$23</f>
        <v>9.740989729225022</v>
      </c>
      <c r="G57" s="137">
        <f>IF(AC68=TRUE,F57,F57*0)</f>
        <v>9.740989729225022</v>
      </c>
      <c r="H57" s="131"/>
      <c r="I57" s="138">
        <v>560</v>
      </c>
      <c r="J57" s="69" t="s">
        <v>116</v>
      </c>
      <c r="K57" s="25"/>
    </row>
    <row r="58" spans="1:11" ht="13.5">
      <c r="A58" s="18"/>
      <c r="B58" s="42"/>
      <c r="C58" s="42" t="s">
        <v>95</v>
      </c>
      <c r="D58" s="135">
        <f>R30+D38</f>
        <v>17.341176470588234</v>
      </c>
      <c r="E58" s="117">
        <f>IF(AC69=TRUE,D58+F52,D58*0)</f>
        <v>0</v>
      </c>
      <c r="F58" s="136">
        <f>E58*$D$23</f>
        <v>0</v>
      </c>
      <c r="G58" s="137">
        <f>IF(AC69=TRUE,F58,F58*0)</f>
        <v>0</v>
      </c>
      <c r="H58" s="131"/>
      <c r="I58" s="131"/>
      <c r="J58" s="131"/>
      <c r="K58" s="25"/>
    </row>
    <row r="59" spans="1:11" ht="13.5">
      <c r="A59" s="18"/>
      <c r="B59" s="19"/>
      <c r="C59" s="139"/>
      <c r="D59" s="22"/>
      <c r="E59" s="20"/>
      <c r="F59" s="140"/>
      <c r="G59" s="130"/>
      <c r="H59" s="131"/>
      <c r="I59" s="131"/>
      <c r="J59" s="131"/>
      <c r="K59" s="25"/>
    </row>
    <row r="60" spans="1:11" ht="27.75" customHeight="1">
      <c r="A60" s="18"/>
      <c r="B60" s="166" t="s">
        <v>111</v>
      </c>
      <c r="C60" s="167"/>
      <c r="D60" s="168"/>
      <c r="E60" s="195" t="s">
        <v>57</v>
      </c>
      <c r="F60" s="195"/>
      <c r="G60" s="130"/>
      <c r="H60" s="131"/>
      <c r="I60" s="131"/>
      <c r="J60" s="131"/>
      <c r="K60" s="25"/>
    </row>
    <row r="61" spans="1:11" ht="13.5">
      <c r="A61" s="18"/>
      <c r="B61" s="162" t="s">
        <v>92</v>
      </c>
      <c r="C61" s="163"/>
      <c r="D61" s="141" t="s">
        <v>59</v>
      </c>
      <c r="E61" s="181" t="s">
        <v>43</v>
      </c>
      <c r="F61" s="182"/>
      <c r="G61" s="142"/>
      <c r="H61" s="131"/>
      <c r="I61" s="131"/>
      <c r="J61" s="131"/>
      <c r="K61" s="25"/>
    </row>
    <row r="62" spans="1:11" ht="13.5">
      <c r="A62" s="18"/>
      <c r="B62" s="42"/>
      <c r="C62" s="143" t="str">
        <f>IF(D42=J41,"Baja","Alta")</f>
        <v>Baja</v>
      </c>
      <c r="D62" s="144">
        <f>D42*D24</f>
        <v>251.99999999999994</v>
      </c>
      <c r="E62" s="192">
        <f>$D$23*(($D$44/$D$46)+$D$44/($D$47*D62*$D$23)+(($D$44*0.006*$D$48)/(D62*$D$23))+$D$44*($D$49+$D$50)/(100*D62*$D$23)+($D$51/$D$23))+$G$57+$G$58</f>
        <v>15.460037348272643</v>
      </c>
      <c r="F62" s="193" t="e">
        <f>$D$25*($D$46/$D$48)+$D$46/($D$49*D62*$D$25)+(($D$46*0.006*$D$50)/(D62*$D$25))+$D$46*($D$51+#REF!)/(100*D62*$D$25)+($D$52/$D$25)+$D$67</f>
        <v>#DIV/0!</v>
      </c>
      <c r="G62" s="145"/>
      <c r="H62" s="131"/>
      <c r="I62" s="131"/>
      <c r="J62" s="131"/>
      <c r="K62" s="25"/>
    </row>
    <row r="63" spans="1:22" ht="13.5">
      <c r="A63" s="18"/>
      <c r="B63" s="19"/>
      <c r="C63" s="139"/>
      <c r="D63" s="22"/>
      <c r="E63" s="20"/>
      <c r="F63" s="146"/>
      <c r="G63" s="147"/>
      <c r="H63" s="19"/>
      <c r="I63" s="19"/>
      <c r="J63" s="19"/>
      <c r="K63" s="25"/>
      <c r="V63" s="10"/>
    </row>
    <row r="64" spans="1:22" ht="13.5">
      <c r="A64" s="18"/>
      <c r="B64" s="19"/>
      <c r="C64" s="19"/>
      <c r="D64" s="22"/>
      <c r="E64" s="22"/>
      <c r="F64" s="19"/>
      <c r="G64" s="24"/>
      <c r="H64" s="19"/>
      <c r="I64" s="19"/>
      <c r="J64" s="19"/>
      <c r="K64" s="25"/>
      <c r="V64" s="10"/>
    </row>
    <row r="65" spans="1:22" ht="13.5">
      <c r="A65" s="18"/>
      <c r="B65" s="19"/>
      <c r="C65" s="148"/>
      <c r="D65" s="22"/>
      <c r="E65" s="22"/>
      <c r="F65" s="149"/>
      <c r="G65" s="150"/>
      <c r="H65" s="19"/>
      <c r="I65" s="19"/>
      <c r="J65" s="19"/>
      <c r="K65" s="25"/>
      <c r="V65" s="10"/>
    </row>
    <row r="66" spans="1:11" ht="12.75" customHeight="1">
      <c r="A66" s="18"/>
      <c r="B66" s="19"/>
      <c r="C66" s="19"/>
      <c r="D66" s="22"/>
      <c r="E66" s="22"/>
      <c r="F66" s="149"/>
      <c r="G66" s="150"/>
      <c r="H66" s="19"/>
      <c r="I66" s="19"/>
      <c r="J66" s="19"/>
      <c r="K66" s="25"/>
    </row>
    <row r="67" spans="1:11" ht="13.5">
      <c r="A67" s="18"/>
      <c r="B67" s="19"/>
      <c r="C67" s="19"/>
      <c r="D67" s="22"/>
      <c r="E67" s="22"/>
      <c r="F67" s="19"/>
      <c r="G67" s="24"/>
      <c r="H67" s="19"/>
      <c r="I67" s="19"/>
      <c r="J67" s="19"/>
      <c r="K67" s="25"/>
    </row>
    <row r="68" spans="1:29" ht="13.5">
      <c r="A68" s="151"/>
      <c r="B68" s="152"/>
      <c r="C68" s="152"/>
      <c r="D68" s="153"/>
      <c r="E68" s="153"/>
      <c r="F68" s="152"/>
      <c r="G68" s="154"/>
      <c r="H68" s="152"/>
      <c r="I68" s="152"/>
      <c r="J68" s="152"/>
      <c r="K68" s="155"/>
      <c r="AC68" s="12" t="b">
        <v>1</v>
      </c>
    </row>
    <row r="69" spans="3:29" ht="13.5">
      <c r="C69" s="156"/>
      <c r="D69" s="157"/>
      <c r="E69" s="158"/>
      <c r="F69" s="159"/>
      <c r="G69" s="160"/>
      <c r="K69" s="161"/>
      <c r="AC69" s="12" t="b">
        <v>0</v>
      </c>
    </row>
    <row r="70" spans="4:11" ht="13.5">
      <c r="D70" s="157"/>
      <c r="E70" s="158"/>
      <c r="F70" s="159"/>
      <c r="G70" s="160"/>
      <c r="K70" s="161"/>
    </row>
    <row r="73" ht="13.5">
      <c r="AC73" s="12" t="b">
        <v>1</v>
      </c>
    </row>
    <row r="74" ht="13.5">
      <c r="AC74" s="12" t="b">
        <v>0</v>
      </c>
    </row>
  </sheetData>
  <sheetProtection/>
  <mergeCells count="58">
    <mergeCell ref="M9:N9"/>
    <mergeCell ref="M15:M16"/>
    <mergeCell ref="M12:M13"/>
    <mergeCell ref="M18:N18"/>
    <mergeCell ref="E62:F62"/>
    <mergeCell ref="E55:F55"/>
    <mergeCell ref="E60:F60"/>
    <mergeCell ref="I32:J32"/>
    <mergeCell ref="M39:M40"/>
    <mergeCell ref="I56:J56"/>
    <mergeCell ref="Q26:R27"/>
    <mergeCell ref="M27:M28"/>
    <mergeCell ref="M29:M30"/>
    <mergeCell ref="B22:C22"/>
    <mergeCell ref="B23:C23"/>
    <mergeCell ref="M24:O24"/>
    <mergeCell ref="M25:M26"/>
    <mergeCell ref="I21:J21"/>
    <mergeCell ref="I26:J26"/>
    <mergeCell ref="E61:F61"/>
    <mergeCell ref="B19:C19"/>
    <mergeCell ref="B27:C27"/>
    <mergeCell ref="B21:C21"/>
    <mergeCell ref="I40:J40"/>
    <mergeCell ref="I47:J47"/>
    <mergeCell ref="B42:C42"/>
    <mergeCell ref="B44:C44"/>
    <mergeCell ref="B12:C12"/>
    <mergeCell ref="I16:J16"/>
    <mergeCell ref="B13:C13"/>
    <mergeCell ref="B15:C15"/>
    <mergeCell ref="B16:C16"/>
    <mergeCell ref="B14:C14"/>
    <mergeCell ref="I12:J12"/>
    <mergeCell ref="B17:C17"/>
    <mergeCell ref="B37:C37"/>
    <mergeCell ref="B29:C29"/>
    <mergeCell ref="B30:C30"/>
    <mergeCell ref="B35:C35"/>
    <mergeCell ref="B32:C32"/>
    <mergeCell ref="B33:C33"/>
    <mergeCell ref="B26:C26"/>
    <mergeCell ref="R39:R40"/>
    <mergeCell ref="B41:C41"/>
    <mergeCell ref="O39:O40"/>
    <mergeCell ref="Q39:Q40"/>
    <mergeCell ref="P39:P40"/>
    <mergeCell ref="N39:N40"/>
    <mergeCell ref="B61:C61"/>
    <mergeCell ref="B46:C46"/>
    <mergeCell ref="B47:C47"/>
    <mergeCell ref="B48:C48"/>
    <mergeCell ref="B56:C56"/>
    <mergeCell ref="B60:D60"/>
    <mergeCell ref="B49:C49"/>
    <mergeCell ref="B50:C50"/>
    <mergeCell ref="B51:C51"/>
    <mergeCell ref="B55:D55"/>
  </mergeCells>
  <conditionalFormatting sqref="J13:J14">
    <cfRule type="cellIs" priority="1" dxfId="0" operator="equal" stopIfTrue="1">
      <formula>$D$12</formula>
    </cfRule>
  </conditionalFormatting>
  <conditionalFormatting sqref="J27:J30">
    <cfRule type="cellIs" priority="2" dxfId="0" operator="equal" stopIfTrue="1">
      <formula>$D$30</formula>
    </cfRule>
  </conditionalFormatting>
  <conditionalFormatting sqref="J22:J24">
    <cfRule type="cellIs" priority="3" dxfId="0" operator="equal" stopIfTrue="1">
      <formula>$D$26</formula>
    </cfRule>
  </conditionalFormatting>
  <conditionalFormatting sqref="J17:J19">
    <cfRule type="cellIs" priority="4" dxfId="0" operator="equal" stopIfTrue="1">
      <formula>$D$22</formula>
    </cfRule>
  </conditionalFormatting>
  <conditionalFormatting sqref="C57">
    <cfRule type="expression" priority="5" dxfId="0" stopIfTrue="1">
      <formula>$G$57&gt;0</formula>
    </cfRule>
  </conditionalFormatting>
  <conditionalFormatting sqref="C58">
    <cfRule type="expression" priority="6" dxfId="0" stopIfTrue="1">
      <formula>$G$58&gt;0</formula>
    </cfRule>
  </conditionalFormatting>
  <conditionalFormatting sqref="J34">
    <cfRule type="expression" priority="7" dxfId="0" stopIfTrue="1">
      <formula>$D$26=25</formula>
    </cfRule>
  </conditionalFormatting>
  <conditionalFormatting sqref="J35">
    <cfRule type="expression" priority="8" dxfId="0" stopIfTrue="1">
      <formula>$D$26=50</formula>
    </cfRule>
  </conditionalFormatting>
  <conditionalFormatting sqref="J36">
    <cfRule type="expression" priority="9" dxfId="0" stopIfTrue="1">
      <formula>$D$26=75</formula>
    </cfRule>
  </conditionalFormatting>
  <conditionalFormatting sqref="J41:J42">
    <cfRule type="cellIs" priority="10" dxfId="0" operator="equal" stopIfTrue="1">
      <formula>$D$42</formula>
    </cfRule>
  </conditionalFormatting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0.00390625" style="3" customWidth="1"/>
  </cols>
  <sheetData>
    <row r="1" s="1" customFormat="1" ht="96.75" customHeight="1">
      <c r="A1" s="4"/>
    </row>
    <row r="2" spans="1:16" ht="12.75">
      <c r="A2" s="5" t="s">
        <v>134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 customHeight="1">
      <c r="A4" s="4" t="s">
        <v>112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4" t="s">
        <v>117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 customHeight="1">
      <c r="A6" s="4" t="s">
        <v>118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4" t="s">
        <v>119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8.5" customHeight="1">
      <c r="A8" s="4" t="s">
        <v>120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8.5" customHeight="1">
      <c r="A9" s="4" t="s">
        <v>121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8.5" customHeight="1">
      <c r="A10" s="4" t="s">
        <v>122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8.5" customHeight="1">
      <c r="A11" s="4" t="s">
        <v>123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8.5" customHeight="1">
      <c r="A12" s="4" t="s">
        <v>124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4" t="s">
        <v>113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4" t="s">
        <v>135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8.5" customHeight="1">
      <c r="A16" s="4" t="s">
        <v>125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4" t="s">
        <v>126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4" t="s">
        <v>127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4" t="s">
        <v>128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6" t="s">
        <v>136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4" t="s">
        <v>129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4" t="s">
        <v>130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4" t="s">
        <v>133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8.5" customHeight="1">
      <c r="A24" s="4" t="s">
        <v>131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9.25" customHeight="1">
      <c r="A25" s="4" t="s">
        <v>132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2008-09-10T13:19:18Z</cp:lastPrinted>
  <dcterms:created xsi:type="dcterms:W3CDTF">2006-05-11T14:34:13Z</dcterms:created>
  <dcterms:modified xsi:type="dcterms:W3CDTF">2014-06-27T08:19:05Z</dcterms:modified>
  <cp:category/>
  <cp:version/>
  <cp:contentType/>
  <cp:contentStatus/>
</cp:coreProperties>
</file>