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96" windowWidth="12420" windowHeight="10680" tabRatio="771" activeTab="0"/>
  </bookViews>
  <sheets>
    <sheet name="Picad. paja" sheetId="1" r:id="rId1"/>
    <sheet name="Metodología" sheetId="2" r:id="rId2"/>
  </sheets>
  <definedNames>
    <definedName name="_xlnm.Print_Area" localSheetId="1">'Metodología'!$A$1:$A$27</definedName>
    <definedName name="_xlnm.Print_Area" localSheetId="0">'Picad. paja'!$A$1:$K$66</definedName>
  </definedNames>
  <calcPr fullCalcOnLoad="1"/>
</workbook>
</file>

<file path=xl/sharedStrings.xml><?xml version="1.0" encoding="utf-8"?>
<sst xmlns="http://schemas.openxmlformats.org/spreadsheetml/2006/main" count="174" uniqueCount="127">
  <si>
    <t>OPERACIÓN:</t>
  </si>
  <si>
    <t xml:space="preserve">APERO: </t>
  </si>
  <si>
    <t>m</t>
  </si>
  <si>
    <t>Baja</t>
  </si>
  <si>
    <t>Alta</t>
  </si>
  <si>
    <t>Velocidad de trabajo</t>
  </si>
  <si>
    <t>km/h</t>
  </si>
  <si>
    <t>kW</t>
  </si>
  <si>
    <t>RESULTADOS MAPA</t>
  </si>
  <si>
    <t>%</t>
  </si>
  <si>
    <t>consumos</t>
  </si>
  <si>
    <t>Eficiencia de trabajo</t>
  </si>
  <si>
    <t>anchura alta</t>
  </si>
  <si>
    <t>CV</t>
  </si>
  <si>
    <t>anchura normal</t>
  </si>
  <si>
    <t>Media</t>
  </si>
  <si>
    <t>Capacidad trabajo teórica</t>
  </si>
  <si>
    <t>h/ha</t>
  </si>
  <si>
    <t>Eficiencia</t>
  </si>
  <si>
    <t>Capacidad trabajo real</t>
  </si>
  <si>
    <t>Nivel de carga de trabajo (%)</t>
  </si>
  <si>
    <t>ha/h</t>
  </si>
  <si>
    <t>Bajo</t>
  </si>
  <si>
    <t>Medio</t>
  </si>
  <si>
    <t>h/año</t>
  </si>
  <si>
    <t>Nivel de carga del tractor</t>
  </si>
  <si>
    <t>Alto</t>
  </si>
  <si>
    <t>Potencia tractor necesaria</t>
  </si>
  <si>
    <t>€/h</t>
  </si>
  <si>
    <t>Nivel potencia tractor (CV)</t>
  </si>
  <si>
    <t>Pequeño</t>
  </si>
  <si>
    <t>Mediano</t>
  </si>
  <si>
    <t>Grande</t>
  </si>
  <si>
    <t>COSTES DE UTILIZACIÓN</t>
  </si>
  <si>
    <t>Muy grande</t>
  </si>
  <si>
    <t>Consumo de combustible</t>
  </si>
  <si>
    <t>L/h</t>
  </si>
  <si>
    <t>L/ha</t>
  </si>
  <si>
    <t>Consumo combustible</t>
  </si>
  <si>
    <t>Consumo de aceite</t>
  </si>
  <si>
    <t>Carga</t>
  </si>
  <si>
    <t>Factor (L/h-kW)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</si>
  <si>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</si>
  <si>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</si>
  <si>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</si>
  <si>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</si>
  <si>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</si>
  <si>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</si>
  <si>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</si>
  <si>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</si>
  <si>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</si>
  <si>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</si>
  <si>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</si>
  <si>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</si>
  <si>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</si>
  <si>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</si>
  <si>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</si>
  <si>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</si>
  <si>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</si>
  <si>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</si>
  <si>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</si>
  <si>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ha/año</t>
  </si>
  <si>
    <t>horas</t>
  </si>
  <si>
    <t>€/kW</t>
  </si>
  <si>
    <t>Seguros</t>
  </si>
  <si>
    <t>Resguardo</t>
  </si>
  <si>
    <t>L/h-kW</t>
  </si>
  <si>
    <t>-</t>
  </si>
  <si>
    <t>t/h</t>
  </si>
  <si>
    <t>Pot (kW)</t>
  </si>
  <si>
    <t>ASAE forage harvester,corn silage</t>
  </si>
  <si>
    <t>Pot (kWh/t)</t>
  </si>
  <si>
    <t>Picadora-Cargadora arrastrada</t>
  </si>
  <si>
    <t>Picadora- Cargadora autopropulsada</t>
  </si>
  <si>
    <t>Cp(t/h)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</si>
  <si>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</si>
  <si>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</si>
  <si>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</si>
  <si>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</si>
  <si>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</si>
  <si>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</si>
  <si>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</si>
  <si>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Peso apero</t>
  </si>
  <si>
    <t>kg</t>
  </si>
  <si>
    <t>AUXILIAR</t>
  </si>
  <si>
    <t>FICHA TEC pic-carg doble corte</t>
  </si>
  <si>
    <t>Poses. + tract.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</si>
  <si>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</si>
  <si>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</si>
  <si>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</si>
  <si>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</si>
  <si>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</si>
  <si>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</si>
  <si>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</si>
  <si>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</si>
  <si>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</si>
  <si>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>Los datos de partida de esta operación son los siguientes:</t>
  </si>
  <si>
    <t>Las hipótesis establecidas para el cálculo de los costes son las siguientes:</t>
  </si>
  <si>
    <t>Precio adquisición tractor</t>
  </si>
  <si>
    <t xml:space="preserve"> €/kW de potencia</t>
  </si>
  <si>
    <t>-          Velocidad de trabajo: Es un valor tomado de las velocidades recomendadas de trabajo</t>
  </si>
  <si>
    <t>-          Eficiencia de la operación: Baja, media o alta (se recomienda escoger media para esta operación puesto que es la situación más habitual)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</si>
  <si>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</si>
  <si>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</si>
  <si>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</si>
  <si>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</si>
  <si>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</si>
  <si>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</si>
  <si>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</si>
  <si>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</si>
  <si>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</si>
  <si>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Pot. necesaria (Fabricantes)</t>
  </si>
  <si>
    <t>Picado de restos de cosecha (paja)</t>
  </si>
  <si>
    <t>Picadora de paja</t>
  </si>
  <si>
    <t>Anchura de máquina</t>
  </si>
  <si>
    <t>Separación cordones</t>
  </si>
  <si>
    <t>Separación cordones (m)</t>
  </si>
  <si>
    <t xml:space="preserve">-          Peso del apero: Estimado en 1.500 kg </t>
  </si>
  <si>
    <t>-          Nivel de carga del tractor: Bajo, medio o alto (se recomienda poner un nivel alto para esta operación)</t>
  </si>
  <si>
    <t>Capacidad de picado</t>
  </si>
  <si>
    <t>-          Anchura de máquina: 1,8 m. (adaptada a la anchura del cordón que deja la cosechadora)</t>
  </si>
  <si>
    <t>-          Capacidad d etriturado: 12 t/h</t>
  </si>
  <si>
    <t>-          Potencia necesaria: Tomada de la información suministrada por los fabricantes</t>
  </si>
  <si>
    <t>-          Precio de adquisición: Estimado en 10.000 €</t>
  </si>
  <si>
    <t xml:space="preserve">-          Amortización por desgaste: 1.200 h </t>
  </si>
  <si>
    <t>-          Mantenimiento y reparaciones: 2,5 €/ha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</si>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</sst>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0" xfId="0" applyFont="1" applyAlignment="1" applyProtection="1">
      <alignment/>
      <protection hidden="1" locked="0"/>
    </xf>
    <xf numFmtId="0" fontId="8" fillId="33" borderId="13" xfId="0" applyFont="1" applyFill="1" applyBorder="1" applyAlignment="1">
      <alignment horizontal="left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65" fontId="7" fillId="0" borderId="0" xfId="0" applyNumberFormat="1" applyFont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8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wrapText="1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165" fontId="6" fillId="33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2" fontId="15" fillId="33" borderId="21" xfId="0" applyNumberFormat="1" applyFont="1" applyFill="1" applyBorder="1" applyAlignment="1" applyProtection="1">
      <alignment horizontal="center"/>
      <protection hidden="1" locked="0"/>
    </xf>
    <xf numFmtId="0" fontId="8" fillId="33" borderId="22" xfId="0" applyFont="1" applyFill="1" applyBorder="1" applyAlignment="1">
      <alignment horizontal="center"/>
    </xf>
    <xf numFmtId="164" fontId="14" fillId="33" borderId="0" xfId="0" applyNumberFormat="1" applyFont="1" applyFill="1" applyBorder="1" applyAlignment="1" applyProtection="1">
      <alignment horizontal="center"/>
      <protection hidden="1"/>
    </xf>
    <xf numFmtId="0" fontId="13" fillId="33" borderId="23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164" fontId="14" fillId="33" borderId="18" xfId="0" applyNumberFormat="1" applyFont="1" applyFill="1" applyBorder="1" applyAlignment="1" applyProtection="1">
      <alignment horizontal="center"/>
      <protection hidden="1"/>
    </xf>
    <xf numFmtId="0" fontId="13" fillId="33" borderId="19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5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 applyProtection="1">
      <alignment horizontal="center"/>
      <protection hidden="1" locked="0"/>
    </xf>
    <xf numFmtId="165" fontId="6" fillId="34" borderId="14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14" xfId="0" applyFont="1" applyFill="1" applyBorder="1" applyAlignment="1">
      <alignment/>
    </xf>
    <xf numFmtId="0" fontId="15" fillId="33" borderId="0" xfId="0" applyFont="1" applyFill="1" applyBorder="1" applyAlignment="1" applyProtection="1">
      <alignment horizontal="center"/>
      <protection hidden="1" locked="0"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 applyProtection="1">
      <alignment horizontal="center"/>
      <protection hidden="1"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3" fontId="6" fillId="34" borderId="14" xfId="0" applyNumberFormat="1" applyFont="1" applyFill="1" applyBorder="1" applyAlignment="1">
      <alignment horizontal="center"/>
    </xf>
    <xf numFmtId="164" fontId="15" fillId="33" borderId="21" xfId="0" applyNumberFormat="1" applyFont="1" applyFill="1" applyBorder="1" applyAlignment="1" applyProtection="1">
      <alignment horizontal="center"/>
      <protection hidden="1" locked="0"/>
    </xf>
    <xf numFmtId="0" fontId="8" fillId="33" borderId="21" xfId="0" applyFont="1" applyFill="1" applyBorder="1" applyAlignment="1">
      <alignment horizontal="center"/>
    </xf>
    <xf numFmtId="2" fontId="6" fillId="33" borderId="21" xfId="0" applyNumberFormat="1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18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"/>
    </xf>
    <xf numFmtId="2" fontId="13" fillId="33" borderId="18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/>
      <protection hidden="1"/>
    </xf>
    <xf numFmtId="0" fontId="18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2" fontId="14" fillId="34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4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34" borderId="18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14" fillId="34" borderId="18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8" fillId="33" borderId="15" xfId="0" applyFont="1" applyFill="1" applyBorder="1" applyAlignment="1" applyProtection="1">
      <alignment horizontal="center"/>
      <protection/>
    </xf>
    <xf numFmtId="0" fontId="8" fillId="35" borderId="24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2" fontId="12" fillId="36" borderId="24" xfId="0" applyNumberFormat="1" applyFont="1" applyFill="1" applyBorder="1" applyAlignment="1" applyProtection="1">
      <alignment horizontal="center" vertical="center"/>
      <protection hidden="1"/>
    </xf>
    <xf numFmtId="2" fontId="12" fillId="36" borderId="20" xfId="0" applyNumberFormat="1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7" borderId="24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7.emf" /><Relationship Id="rId3" Type="http://schemas.openxmlformats.org/officeDocument/2006/relationships/image" Target="../media/image14.emf" /><Relationship Id="rId4" Type="http://schemas.openxmlformats.org/officeDocument/2006/relationships/image" Target="../media/image18.emf" /><Relationship Id="rId5" Type="http://schemas.openxmlformats.org/officeDocument/2006/relationships/image" Target="../media/image15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Relationship Id="rId8" Type="http://schemas.openxmlformats.org/officeDocument/2006/relationships/image" Target="../media/image11.emf" /><Relationship Id="rId9" Type="http://schemas.openxmlformats.org/officeDocument/2006/relationships/image" Target="../media/image1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3.emf" /><Relationship Id="rId13" Type="http://schemas.openxmlformats.org/officeDocument/2006/relationships/image" Target="../media/image6.emf" /><Relationship Id="rId14" Type="http://schemas.openxmlformats.org/officeDocument/2006/relationships/image" Target="../media/image10.emf" /><Relationship Id="rId15" Type="http://schemas.openxmlformats.org/officeDocument/2006/relationships/image" Target="../media/image17.emf" /><Relationship Id="rId16" Type="http://schemas.openxmlformats.org/officeDocument/2006/relationships/image" Target="../media/image4.emf" /><Relationship Id="rId17" Type="http://schemas.openxmlformats.org/officeDocument/2006/relationships/image" Target="../media/image12.emf" /><Relationship Id="rId18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19050</xdr:rowOff>
    </xdr:from>
    <xdr:to>
      <xdr:col>7</xdr:col>
      <xdr:colOff>228600</xdr:colOff>
      <xdr:row>18</xdr:row>
      <xdr:rowOff>9525</xdr:rowOff>
    </xdr:to>
    <xdr:pic>
      <xdr:nvPicPr>
        <xdr:cNvPr id="2" name="OptionButton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71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18</xdr:row>
      <xdr:rowOff>38100</xdr:rowOff>
    </xdr:from>
    <xdr:to>
      <xdr:col>7</xdr:col>
      <xdr:colOff>228600</xdr:colOff>
      <xdr:row>19</xdr:row>
      <xdr:rowOff>19050</xdr:rowOff>
    </xdr:to>
    <xdr:pic>
      <xdr:nvPicPr>
        <xdr:cNvPr id="3" name="OptionButton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3162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19050</xdr:rowOff>
    </xdr:from>
    <xdr:to>
      <xdr:col>7</xdr:col>
      <xdr:colOff>228600</xdr:colOff>
      <xdr:row>20</xdr:row>
      <xdr:rowOff>9525</xdr:rowOff>
    </xdr:to>
    <xdr:pic>
      <xdr:nvPicPr>
        <xdr:cNvPr id="4" name="OptionButton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33147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22</xdr:row>
      <xdr:rowOff>19050</xdr:rowOff>
    </xdr:from>
    <xdr:to>
      <xdr:col>7</xdr:col>
      <xdr:colOff>228600</xdr:colOff>
      <xdr:row>23</xdr:row>
      <xdr:rowOff>0</xdr:rowOff>
    </xdr:to>
    <xdr:pic>
      <xdr:nvPicPr>
        <xdr:cNvPr id="5" name="OptionButton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24350" y="38290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0</xdr:rowOff>
    </xdr:from>
    <xdr:to>
      <xdr:col>7</xdr:col>
      <xdr:colOff>228600</xdr:colOff>
      <xdr:row>23</xdr:row>
      <xdr:rowOff>114300</xdr:rowOff>
    </xdr:to>
    <xdr:pic>
      <xdr:nvPicPr>
        <xdr:cNvPr id="6" name="OptionButton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39814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24</xdr:row>
      <xdr:rowOff>9525</xdr:rowOff>
    </xdr:from>
    <xdr:to>
      <xdr:col>7</xdr:col>
      <xdr:colOff>228600</xdr:colOff>
      <xdr:row>24</xdr:row>
      <xdr:rowOff>123825</xdr:rowOff>
    </xdr:to>
    <xdr:pic>
      <xdr:nvPicPr>
        <xdr:cNvPr id="7" name="OptionButton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24350" y="41624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12</xdr:row>
      <xdr:rowOff>38100</xdr:rowOff>
    </xdr:from>
    <xdr:to>
      <xdr:col>7</xdr:col>
      <xdr:colOff>238125</xdr:colOff>
      <xdr:row>13</xdr:row>
      <xdr:rowOff>19050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4350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19050</xdr:rowOff>
    </xdr:from>
    <xdr:to>
      <xdr:col>7</xdr:col>
      <xdr:colOff>219075</xdr:colOff>
      <xdr:row>15</xdr:row>
      <xdr:rowOff>9525</xdr:rowOff>
    </xdr:to>
    <xdr:pic>
      <xdr:nvPicPr>
        <xdr:cNvPr id="9" name="Option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2457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38100</xdr:rowOff>
    </xdr:from>
    <xdr:to>
      <xdr:col>7</xdr:col>
      <xdr:colOff>238125</xdr:colOff>
      <xdr:row>14</xdr:row>
      <xdr:rowOff>19050</xdr:rowOff>
    </xdr:to>
    <xdr:pic>
      <xdr:nvPicPr>
        <xdr:cNvPr id="10" name="Option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2305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238125</xdr:colOff>
      <xdr:row>28</xdr:row>
      <xdr:rowOff>9525</xdr:rowOff>
    </xdr:to>
    <xdr:pic>
      <xdr:nvPicPr>
        <xdr:cNvPr id="11" name="Option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33875" y="46958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28</xdr:row>
      <xdr:rowOff>19050</xdr:rowOff>
    </xdr:from>
    <xdr:to>
      <xdr:col>7</xdr:col>
      <xdr:colOff>238125</xdr:colOff>
      <xdr:row>29</xdr:row>
      <xdr:rowOff>9525</xdr:rowOff>
    </xdr:to>
    <xdr:pic>
      <xdr:nvPicPr>
        <xdr:cNvPr id="12" name="OptionButton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4857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29</xdr:row>
      <xdr:rowOff>28575</xdr:rowOff>
    </xdr:from>
    <xdr:to>
      <xdr:col>7</xdr:col>
      <xdr:colOff>238125</xdr:colOff>
      <xdr:row>30</xdr:row>
      <xdr:rowOff>9525</xdr:rowOff>
    </xdr:to>
    <xdr:pic>
      <xdr:nvPicPr>
        <xdr:cNvPr id="13" name="OptionButton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30</xdr:row>
      <xdr:rowOff>19050</xdr:rowOff>
    </xdr:from>
    <xdr:to>
      <xdr:col>7</xdr:col>
      <xdr:colOff>238125</xdr:colOff>
      <xdr:row>31</xdr:row>
      <xdr:rowOff>9525</xdr:rowOff>
    </xdr:to>
    <xdr:pic>
      <xdr:nvPicPr>
        <xdr:cNvPr id="14" name="OptionButton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33875" y="51911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56</xdr:row>
      <xdr:rowOff>28575</xdr:rowOff>
    </xdr:from>
    <xdr:to>
      <xdr:col>1</xdr:col>
      <xdr:colOff>238125</xdr:colOff>
      <xdr:row>57</xdr:row>
      <xdr:rowOff>9525</xdr:rowOff>
    </xdr:to>
    <xdr:pic>
      <xdr:nvPicPr>
        <xdr:cNvPr id="15" name="OptionButton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96583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9525</xdr:rowOff>
    </xdr:from>
    <xdr:to>
      <xdr:col>1</xdr:col>
      <xdr:colOff>238125</xdr:colOff>
      <xdr:row>57</xdr:row>
      <xdr:rowOff>142875</xdr:rowOff>
    </xdr:to>
    <xdr:pic>
      <xdr:nvPicPr>
        <xdr:cNvPr id="16" name="OptionButton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" y="9801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40</xdr:row>
      <xdr:rowOff>9525</xdr:rowOff>
    </xdr:from>
    <xdr:to>
      <xdr:col>7</xdr:col>
      <xdr:colOff>238125</xdr:colOff>
      <xdr:row>41</xdr:row>
      <xdr:rowOff>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6886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19050</xdr:rowOff>
    </xdr:from>
    <xdr:to>
      <xdr:col>7</xdr:col>
      <xdr:colOff>238125</xdr:colOff>
      <xdr:row>42</xdr:row>
      <xdr:rowOff>0</xdr:rowOff>
    </xdr:to>
    <xdr:pic>
      <xdr:nvPicPr>
        <xdr:cNvPr id="18" name="OptionButton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33875" y="7067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5314950</xdr:colOff>
      <xdr:row>0</xdr:row>
      <xdr:rowOff>1076325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8:AE74"/>
  <sheetViews>
    <sheetView showZero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8515625" style="7" customWidth="1"/>
    <col min="2" max="2" width="5.7109375" style="7" customWidth="1"/>
    <col min="3" max="3" width="22.57421875" style="7" customWidth="1"/>
    <col min="4" max="4" width="10.28125" style="8" customWidth="1"/>
    <col min="5" max="5" width="9.421875" style="8" customWidth="1"/>
    <col min="6" max="6" width="7.28125" style="7" customWidth="1"/>
    <col min="7" max="7" width="5.421875" style="9" customWidth="1"/>
    <col min="8" max="8" width="5.57421875" style="7" customWidth="1"/>
    <col min="9" max="9" width="10.28125" style="7" customWidth="1"/>
    <col min="10" max="10" width="19.28125" style="7" customWidth="1"/>
    <col min="11" max="12" width="5.7109375" style="7" customWidth="1"/>
    <col min="13" max="13" width="18.28125" style="10" hidden="1" customWidth="1"/>
    <col min="14" max="14" width="9.7109375" style="10" hidden="1" customWidth="1"/>
    <col min="15" max="15" width="9.8515625" style="10" hidden="1" customWidth="1"/>
    <col min="16" max="16" width="10.421875" style="10" hidden="1" customWidth="1"/>
    <col min="17" max="17" width="7.140625" style="10" hidden="1" customWidth="1"/>
    <col min="18" max="18" width="10.421875" style="10" hidden="1" customWidth="1"/>
    <col min="19" max="20" width="7.140625" style="10" hidden="1" customWidth="1"/>
    <col min="21" max="25" width="7.140625" style="7" customWidth="1"/>
    <col min="26" max="28" width="11.57421875" style="7" customWidth="1"/>
    <col min="29" max="29" width="11.421875" style="11" hidden="1" customWidth="1"/>
    <col min="30" max="31" width="11.421875" style="7" hidden="1" customWidth="1"/>
    <col min="32" max="16384" width="11.57421875" style="7" customWidth="1"/>
  </cols>
  <sheetData>
    <row r="1" ht="14.25"/>
    <row r="2" ht="14.25"/>
    <row r="3" ht="14.25"/>
    <row r="4" ht="12" customHeight="1"/>
    <row r="5" ht="14.25"/>
    <row r="6" ht="14.25"/>
    <row r="7" ht="14.25"/>
    <row r="8" spans="1:31" ht="14.25">
      <c r="A8" s="12"/>
      <c r="B8" s="13"/>
      <c r="C8" s="13"/>
      <c r="D8" s="14"/>
      <c r="E8" s="14"/>
      <c r="F8" s="13"/>
      <c r="G8" s="13"/>
      <c r="H8" s="15"/>
      <c r="I8" s="13"/>
      <c r="J8" s="13"/>
      <c r="K8" s="16"/>
      <c r="AE8" s="11" t="s">
        <v>73</v>
      </c>
    </row>
    <row r="9" spans="1:31" ht="12.75" customHeight="1">
      <c r="A9" s="17"/>
      <c r="B9" s="18"/>
      <c r="C9" s="19" t="s">
        <v>0</v>
      </c>
      <c r="D9" s="20" t="s">
        <v>112</v>
      </c>
      <c r="E9" s="21"/>
      <c r="F9" s="22"/>
      <c r="G9" s="22"/>
      <c r="H9" s="23"/>
      <c r="I9" s="18"/>
      <c r="J9" s="18"/>
      <c r="K9" s="24"/>
      <c r="M9" s="190" t="s">
        <v>84</v>
      </c>
      <c r="N9" s="191"/>
      <c r="AE9" s="11" t="s">
        <v>72</v>
      </c>
    </row>
    <row r="10" spans="1:31" ht="13.5">
      <c r="A10" s="17"/>
      <c r="B10" s="18"/>
      <c r="C10" s="19" t="s">
        <v>1</v>
      </c>
      <c r="D10" s="26" t="s">
        <v>113</v>
      </c>
      <c r="E10" s="27"/>
      <c r="F10" s="27"/>
      <c r="G10" s="28"/>
      <c r="H10" s="18"/>
      <c r="I10" s="18"/>
      <c r="J10" s="18"/>
      <c r="K10" s="29"/>
      <c r="M10" s="30"/>
      <c r="AE10" s="11" t="s">
        <v>73</v>
      </c>
    </row>
    <row r="11" spans="1:13" ht="13.5">
      <c r="A11" s="17"/>
      <c r="B11" s="18"/>
      <c r="C11" s="18"/>
      <c r="D11" s="27"/>
      <c r="E11" s="27"/>
      <c r="F11" s="27"/>
      <c r="G11" s="28"/>
      <c r="H11" s="18"/>
      <c r="I11" s="18"/>
      <c r="J11" s="18"/>
      <c r="K11" s="29"/>
      <c r="M11" s="30"/>
    </row>
    <row r="12" spans="1:29" ht="13.5">
      <c r="A12" s="17"/>
      <c r="B12" s="166" t="s">
        <v>115</v>
      </c>
      <c r="C12" s="167"/>
      <c r="D12" s="31">
        <f>IF(AC14=TRUE,J13,IF(AC15=TRUE,J14,J15))</f>
        <v>5</v>
      </c>
      <c r="E12" s="32" t="s">
        <v>2</v>
      </c>
      <c r="F12" s="18"/>
      <c r="G12" s="18"/>
      <c r="H12" s="23"/>
      <c r="I12" s="160" t="s">
        <v>116</v>
      </c>
      <c r="J12" s="161"/>
      <c r="K12" s="33"/>
      <c r="M12" s="30"/>
      <c r="AC12" s="34"/>
    </row>
    <row r="13" spans="1:17" ht="13.5">
      <c r="A13" s="17"/>
      <c r="B13" s="158" t="s">
        <v>114</v>
      </c>
      <c r="C13" s="159"/>
      <c r="D13" s="36">
        <v>1.8</v>
      </c>
      <c r="E13" s="37" t="s">
        <v>2</v>
      </c>
      <c r="F13" s="18"/>
      <c r="G13" s="18"/>
      <c r="H13" s="38"/>
      <c r="I13" s="39" t="s">
        <v>3</v>
      </c>
      <c r="J13" s="40">
        <v>3</v>
      </c>
      <c r="K13" s="33"/>
      <c r="M13" s="169" t="s">
        <v>70</v>
      </c>
      <c r="N13" s="30" t="s">
        <v>69</v>
      </c>
      <c r="O13" s="30" t="s">
        <v>71</v>
      </c>
      <c r="P13" s="30" t="s">
        <v>74</v>
      </c>
      <c r="Q13" s="10" t="s">
        <v>69</v>
      </c>
    </row>
    <row r="14" spans="1:29" ht="13.5">
      <c r="A14" s="17"/>
      <c r="B14" s="158" t="s">
        <v>5</v>
      </c>
      <c r="C14" s="159"/>
      <c r="D14" s="41">
        <v>6</v>
      </c>
      <c r="E14" s="37" t="s">
        <v>6</v>
      </c>
      <c r="F14" s="18"/>
      <c r="G14" s="18"/>
      <c r="H14" s="38"/>
      <c r="I14" s="42" t="s">
        <v>15</v>
      </c>
      <c r="J14" s="43">
        <v>5</v>
      </c>
      <c r="K14" s="33"/>
      <c r="M14" s="169"/>
      <c r="N14" s="44"/>
      <c r="O14" s="45"/>
      <c r="P14" s="45">
        <f>D20</f>
        <v>0</v>
      </c>
      <c r="Q14" s="46">
        <f>P14*O14</f>
        <v>0</v>
      </c>
      <c r="AC14" s="11" t="b">
        <v>0</v>
      </c>
    </row>
    <row r="15" spans="1:29" ht="13.5">
      <c r="A15" s="17"/>
      <c r="B15" s="158" t="s">
        <v>82</v>
      </c>
      <c r="C15" s="159"/>
      <c r="D15" s="47">
        <v>1500</v>
      </c>
      <c r="E15" s="37" t="s">
        <v>83</v>
      </c>
      <c r="F15" s="18"/>
      <c r="G15" s="18"/>
      <c r="H15" s="38"/>
      <c r="I15" s="42" t="s">
        <v>4</v>
      </c>
      <c r="J15" s="43">
        <v>8</v>
      </c>
      <c r="K15" s="33"/>
      <c r="AC15" s="11" t="b">
        <v>1</v>
      </c>
    </row>
    <row r="16" spans="1:29" ht="13.5">
      <c r="A16" s="17"/>
      <c r="B16" s="170"/>
      <c r="C16" s="171"/>
      <c r="D16" s="50"/>
      <c r="E16" s="51"/>
      <c r="F16" s="18"/>
      <c r="G16" s="18"/>
      <c r="H16" s="23"/>
      <c r="I16" s="52"/>
      <c r="J16" s="53"/>
      <c r="K16" s="24"/>
      <c r="M16" s="169" t="s">
        <v>85</v>
      </c>
      <c r="N16" s="30" t="s">
        <v>69</v>
      </c>
      <c r="AC16" s="34" t="b">
        <v>0</v>
      </c>
    </row>
    <row r="17" spans="1:14" ht="13.5">
      <c r="A17" s="17"/>
      <c r="B17" s="158" t="s">
        <v>111</v>
      </c>
      <c r="C17" s="159"/>
      <c r="D17" s="54">
        <v>65</v>
      </c>
      <c r="E17" s="37" t="s">
        <v>7</v>
      </c>
      <c r="F17" s="18"/>
      <c r="G17" s="18"/>
      <c r="H17" s="23"/>
      <c r="I17" s="160" t="s">
        <v>11</v>
      </c>
      <c r="J17" s="161"/>
      <c r="K17" s="33"/>
      <c r="M17" s="169"/>
      <c r="N17" s="55"/>
    </row>
    <row r="18" spans="1:13" ht="13.5">
      <c r="A18" s="17"/>
      <c r="B18" s="48"/>
      <c r="C18" s="49"/>
      <c r="D18" s="54">
        <f>D17*1.36</f>
        <v>88.4</v>
      </c>
      <c r="E18" s="37" t="s">
        <v>13</v>
      </c>
      <c r="F18" s="18"/>
      <c r="G18" s="18"/>
      <c r="H18" s="38"/>
      <c r="I18" s="39" t="s">
        <v>3</v>
      </c>
      <c r="J18" s="40">
        <v>0.65</v>
      </c>
      <c r="K18" s="33"/>
      <c r="M18" s="30"/>
    </row>
    <row r="19" spans="1:19" ht="13.5">
      <c r="A19" s="17"/>
      <c r="B19" s="35" t="s">
        <v>119</v>
      </c>
      <c r="C19" s="49"/>
      <c r="D19" s="54">
        <v>12</v>
      </c>
      <c r="E19" s="37" t="s">
        <v>68</v>
      </c>
      <c r="F19" s="18"/>
      <c r="G19" s="18"/>
      <c r="H19" s="38"/>
      <c r="I19" s="39" t="s">
        <v>15</v>
      </c>
      <c r="J19" s="40">
        <v>0.75</v>
      </c>
      <c r="K19" s="33"/>
      <c r="M19" s="168" t="s">
        <v>8</v>
      </c>
      <c r="N19" s="168"/>
      <c r="O19" s="30"/>
      <c r="P19" s="30"/>
      <c r="Q19" s="56"/>
      <c r="R19" s="56"/>
      <c r="S19" s="56"/>
    </row>
    <row r="20" spans="1:29" ht="13.5">
      <c r="A20" s="17"/>
      <c r="B20" s="158"/>
      <c r="C20" s="159"/>
      <c r="D20" s="54"/>
      <c r="E20" s="37"/>
      <c r="F20" s="18"/>
      <c r="G20" s="18"/>
      <c r="H20" s="38"/>
      <c r="I20" s="39" t="s">
        <v>4</v>
      </c>
      <c r="J20" s="40">
        <v>0.85</v>
      </c>
      <c r="K20" s="33"/>
      <c r="L20" s="57"/>
      <c r="N20" s="10" t="s">
        <v>10</v>
      </c>
      <c r="O20" s="30"/>
      <c r="P20" s="30"/>
      <c r="Q20" s="56"/>
      <c r="R20" s="56"/>
      <c r="S20" s="56"/>
      <c r="AC20" s="11" t="b">
        <v>0</v>
      </c>
    </row>
    <row r="21" spans="1:29" ht="13.5">
      <c r="A21" s="17"/>
      <c r="B21" s="158" t="s">
        <v>16</v>
      </c>
      <c r="C21" s="159"/>
      <c r="D21" s="58">
        <f>10/(D14*D12)</f>
        <v>0.3333333333333333</v>
      </c>
      <c r="E21" s="37" t="s">
        <v>17</v>
      </c>
      <c r="F21" s="18"/>
      <c r="G21" s="18"/>
      <c r="H21" s="23"/>
      <c r="I21" s="18"/>
      <c r="J21" s="18"/>
      <c r="K21" s="33"/>
      <c r="L21" s="57"/>
      <c r="M21" s="10" t="s">
        <v>12</v>
      </c>
      <c r="N21" s="30" t="s">
        <v>67</v>
      </c>
      <c r="O21" s="30"/>
      <c r="Q21" s="56"/>
      <c r="R21" s="56"/>
      <c r="S21" s="56"/>
      <c r="AC21" s="11" t="b">
        <v>1</v>
      </c>
    </row>
    <row r="22" spans="1:29" ht="13.5">
      <c r="A22" s="17"/>
      <c r="B22" s="158" t="s">
        <v>18</v>
      </c>
      <c r="C22" s="159"/>
      <c r="D22" s="41">
        <f>IF(AC20=TRUE,J18,IF(AC21=TRUE,J19,IF(AC22=TRUE,J20)))</f>
        <v>0.75</v>
      </c>
      <c r="E22" s="59"/>
      <c r="F22" s="18"/>
      <c r="G22" s="18"/>
      <c r="H22" s="23"/>
      <c r="I22" s="160" t="s">
        <v>20</v>
      </c>
      <c r="J22" s="161"/>
      <c r="K22" s="33"/>
      <c r="L22" s="57"/>
      <c r="M22" s="10" t="s">
        <v>14</v>
      </c>
      <c r="N22" s="30" t="s">
        <v>67</v>
      </c>
      <c r="O22" s="30"/>
      <c r="P22" s="30"/>
      <c r="Q22" s="56"/>
      <c r="R22" s="56"/>
      <c r="S22" s="56"/>
      <c r="AC22" s="11" t="b">
        <v>0</v>
      </c>
    </row>
    <row r="23" spans="1:16" ht="13.5">
      <c r="A23" s="17"/>
      <c r="B23" s="162" t="s">
        <v>19</v>
      </c>
      <c r="C23" s="163"/>
      <c r="D23" s="62">
        <f>D21/D22</f>
        <v>0.4444444444444444</v>
      </c>
      <c r="E23" s="63" t="s">
        <v>17</v>
      </c>
      <c r="F23" s="18"/>
      <c r="G23" s="18"/>
      <c r="H23" s="38"/>
      <c r="I23" s="39" t="s">
        <v>22</v>
      </c>
      <c r="J23" s="40">
        <v>25</v>
      </c>
      <c r="K23" s="33"/>
      <c r="L23" s="57"/>
      <c r="M23" s="30"/>
      <c r="N23" s="56"/>
      <c r="O23" s="56"/>
      <c r="P23" s="56"/>
    </row>
    <row r="24" spans="1:29" ht="13.5">
      <c r="A24" s="17"/>
      <c r="B24" s="64"/>
      <c r="C24" s="65"/>
      <c r="D24" s="62">
        <f>1/D23</f>
        <v>2.25</v>
      </c>
      <c r="E24" s="63" t="s">
        <v>21</v>
      </c>
      <c r="F24" s="18"/>
      <c r="G24" s="18"/>
      <c r="H24" s="38"/>
      <c r="I24" s="39" t="s">
        <v>23</v>
      </c>
      <c r="J24" s="40">
        <v>50</v>
      </c>
      <c r="K24" s="33"/>
      <c r="M24" s="66"/>
      <c r="N24" s="56"/>
      <c r="O24" s="56"/>
      <c r="P24" s="56"/>
      <c r="AC24" s="11" t="b">
        <v>0</v>
      </c>
    </row>
    <row r="25" spans="1:29" ht="13.5">
      <c r="A25" s="17"/>
      <c r="B25" s="64"/>
      <c r="C25" s="67"/>
      <c r="D25" s="41"/>
      <c r="E25" s="59"/>
      <c r="F25" s="18"/>
      <c r="G25" s="18"/>
      <c r="H25" s="38"/>
      <c r="I25" s="39" t="s">
        <v>26</v>
      </c>
      <c r="J25" s="40">
        <v>75</v>
      </c>
      <c r="K25" s="24"/>
      <c r="L25" s="57"/>
      <c r="M25" s="192" t="s">
        <v>87</v>
      </c>
      <c r="N25" s="192"/>
      <c r="O25" s="192"/>
      <c r="P25" s="68"/>
      <c r="Q25" s="68"/>
      <c r="R25" s="68"/>
      <c r="AC25" s="11" t="b">
        <v>1</v>
      </c>
    </row>
    <row r="26" spans="1:29" ht="13.5">
      <c r="A26" s="17"/>
      <c r="B26" s="158" t="s">
        <v>25</v>
      </c>
      <c r="C26" s="159"/>
      <c r="D26" s="41">
        <f>IF(AC24=TRUE,J23,IF(AC25=TRUE,J24,IF(AC26=TRUE,J25)))</f>
        <v>50</v>
      </c>
      <c r="E26" s="37" t="s">
        <v>9</v>
      </c>
      <c r="F26" s="18"/>
      <c r="G26" s="18"/>
      <c r="H26" s="23"/>
      <c r="I26" s="18"/>
      <c r="J26" s="18"/>
      <c r="K26" s="33"/>
      <c r="L26" s="57"/>
      <c r="M26" s="193" t="s">
        <v>76</v>
      </c>
      <c r="N26" s="69">
        <f>D30</f>
        <v>120</v>
      </c>
      <c r="O26" s="68" t="s">
        <v>13</v>
      </c>
      <c r="P26" s="68"/>
      <c r="Q26" s="68"/>
      <c r="R26" s="68"/>
      <c r="AC26" s="11" t="b">
        <v>0</v>
      </c>
    </row>
    <row r="27" spans="1:19" ht="13.5">
      <c r="A27" s="17"/>
      <c r="B27" s="158" t="s">
        <v>27</v>
      </c>
      <c r="C27" s="159"/>
      <c r="D27" s="54">
        <f>D18*100/D26</f>
        <v>176.8</v>
      </c>
      <c r="E27" s="37" t="s">
        <v>13</v>
      </c>
      <c r="F27" s="18"/>
      <c r="G27" s="18"/>
      <c r="H27" s="23"/>
      <c r="I27" s="160" t="s">
        <v>29</v>
      </c>
      <c r="J27" s="161"/>
      <c r="K27" s="33"/>
      <c r="L27" s="57"/>
      <c r="M27" s="193"/>
      <c r="N27" s="70">
        <f>N26/1.36</f>
        <v>88.23529411764706</v>
      </c>
      <c r="O27" s="68" t="s">
        <v>7</v>
      </c>
      <c r="P27" s="71"/>
      <c r="Q27" s="164" t="s">
        <v>88</v>
      </c>
      <c r="R27" s="164"/>
      <c r="S27" s="72"/>
    </row>
    <row r="28" spans="1:18" ht="13.5">
      <c r="A28" s="17"/>
      <c r="B28" s="73"/>
      <c r="C28" s="74"/>
      <c r="D28" s="41"/>
      <c r="E28" s="59"/>
      <c r="F28" s="18"/>
      <c r="G28" s="18"/>
      <c r="H28" s="38"/>
      <c r="I28" s="75" t="s">
        <v>30</v>
      </c>
      <c r="J28" s="40">
        <v>90</v>
      </c>
      <c r="K28" s="33"/>
      <c r="L28" s="57"/>
      <c r="M28" s="165" t="s">
        <v>89</v>
      </c>
      <c r="N28" s="69">
        <f>+I57</f>
        <v>560</v>
      </c>
      <c r="O28" s="10" t="s">
        <v>63</v>
      </c>
      <c r="P28" s="68"/>
      <c r="Q28" s="164"/>
      <c r="R28" s="164"/>
    </row>
    <row r="29" spans="1:29" ht="13.5">
      <c r="A29" s="17"/>
      <c r="B29" s="158" t="s">
        <v>75</v>
      </c>
      <c r="C29" s="159"/>
      <c r="D29" s="41" t="str">
        <f>IF(AC29=TRUE,"Pequeño",IF(AC30=TRUE,"Mediano",IF(AC31=TRUE,"Grande",IF(AC32=TRUE,"Muy Grande",))))</f>
        <v>Mediano</v>
      </c>
      <c r="E29" s="37"/>
      <c r="F29" s="18"/>
      <c r="G29" s="18"/>
      <c r="H29" s="38"/>
      <c r="I29" s="39" t="s">
        <v>31</v>
      </c>
      <c r="J29" s="40">
        <v>120</v>
      </c>
      <c r="K29" s="33"/>
      <c r="L29" s="57"/>
      <c r="M29" s="165"/>
      <c r="N29" s="76">
        <f>N27*N28</f>
        <v>49411.76470588235</v>
      </c>
      <c r="O29" s="10" t="s">
        <v>49</v>
      </c>
      <c r="P29" s="68"/>
      <c r="Q29" s="70" t="s">
        <v>24</v>
      </c>
      <c r="R29" s="77" t="s">
        <v>90</v>
      </c>
      <c r="U29" s="78"/>
      <c r="V29" s="78"/>
      <c r="W29" s="78"/>
      <c r="X29" s="78"/>
      <c r="Y29" s="78"/>
      <c r="Z29" s="78"/>
      <c r="AC29" s="11" t="b">
        <v>0</v>
      </c>
    </row>
    <row r="30" spans="1:29" ht="12.75" customHeight="1">
      <c r="A30" s="17"/>
      <c r="B30" s="177" t="s">
        <v>76</v>
      </c>
      <c r="C30" s="178"/>
      <c r="D30" s="79">
        <f>IF(AC29=TRUE,J28,IF(AC30=TRUE,J29,IF(AC31=TRUE,J30,IF(AC32=TRUE,J31,""))))</f>
        <v>120</v>
      </c>
      <c r="E30" s="80" t="s">
        <v>13</v>
      </c>
      <c r="F30" s="18"/>
      <c r="G30" s="18"/>
      <c r="H30" s="38"/>
      <c r="I30" s="39" t="s">
        <v>32</v>
      </c>
      <c r="J30" s="40">
        <v>150</v>
      </c>
      <c r="K30" s="24"/>
      <c r="L30" s="57"/>
      <c r="M30" s="165" t="s">
        <v>91</v>
      </c>
      <c r="N30" s="81">
        <v>12000</v>
      </c>
      <c r="O30" s="10" t="s">
        <v>62</v>
      </c>
      <c r="P30" s="68"/>
      <c r="Q30" s="76">
        <v>500</v>
      </c>
      <c r="R30" s="70">
        <f>$N$29/$N$30+$N$29/($N$31*Q30)+($N$29*$N$32*0.6)/(Q30*100)+($N$29*(($N$33+$N$34)/(Q30*100)))+$N$27*$N$36*$N$35</f>
        <v>14.967058823529412</v>
      </c>
      <c r="U30" s="78"/>
      <c r="V30" s="78"/>
      <c r="W30" s="78"/>
      <c r="X30" s="78"/>
      <c r="Y30" s="78"/>
      <c r="Z30" s="78"/>
      <c r="AC30" s="11" t="b">
        <v>1</v>
      </c>
    </row>
    <row r="31" spans="1:29" ht="13.5">
      <c r="A31" s="17"/>
      <c r="B31" s="18"/>
      <c r="C31" s="18"/>
      <c r="D31" s="82"/>
      <c r="E31" s="21"/>
      <c r="F31" s="18"/>
      <c r="G31" s="18"/>
      <c r="H31" s="38"/>
      <c r="I31" s="39" t="s">
        <v>34</v>
      </c>
      <c r="J31" s="40">
        <v>180</v>
      </c>
      <c r="K31" s="33"/>
      <c r="L31" s="57"/>
      <c r="M31" s="165"/>
      <c r="N31" s="30">
        <v>20</v>
      </c>
      <c r="O31" s="10" t="s">
        <v>53</v>
      </c>
      <c r="P31" s="68"/>
      <c r="Q31" s="76">
        <v>1000</v>
      </c>
      <c r="R31" s="70">
        <f>$N$29/$N$30+$N$29/($N$31*Q31)+($N$29*$N$32*0.6)/(Q31*100)+($N$29*(($N$33+$N$34)/(Q31*100)))+$N$27*$N$36*$N$35</f>
        <v>10.865882352941176</v>
      </c>
      <c r="U31" s="83"/>
      <c r="V31" s="83"/>
      <c r="W31" s="83"/>
      <c r="X31" s="83"/>
      <c r="Y31" s="83"/>
      <c r="Z31" s="83"/>
      <c r="AC31" s="11" t="b">
        <v>0</v>
      </c>
    </row>
    <row r="32" spans="1:29" ht="13.5">
      <c r="A32" s="17"/>
      <c r="B32" s="173" t="s">
        <v>33</v>
      </c>
      <c r="C32" s="174"/>
      <c r="D32" s="84"/>
      <c r="E32" s="85"/>
      <c r="F32" s="18"/>
      <c r="G32" s="18"/>
      <c r="H32" s="23"/>
      <c r="I32" s="18"/>
      <c r="J32" s="18"/>
      <c r="K32" s="33"/>
      <c r="L32" s="57"/>
      <c r="M32" s="25" t="s">
        <v>92</v>
      </c>
      <c r="N32" s="86">
        <f>+D48</f>
        <v>5</v>
      </c>
      <c r="O32" s="10" t="s">
        <v>9</v>
      </c>
      <c r="P32" s="68"/>
      <c r="Q32" s="68"/>
      <c r="R32" s="68"/>
      <c r="U32" s="83"/>
      <c r="V32" s="83"/>
      <c r="W32" s="83"/>
      <c r="X32" s="83"/>
      <c r="Y32" s="83"/>
      <c r="Z32" s="83"/>
      <c r="AC32" s="11" t="b">
        <v>0</v>
      </c>
    </row>
    <row r="33" spans="1:26" ht="13.5">
      <c r="A33" s="17"/>
      <c r="B33" s="158" t="s">
        <v>35</v>
      </c>
      <c r="C33" s="159"/>
      <c r="D33" s="58">
        <f>IF(D26=J23,J35*D30/1.36,IF(D26=J24,J36*D30/1.36,IF(D26=J25,J37*D30/1.36)))</f>
        <v>13.235294117647058</v>
      </c>
      <c r="E33" s="37" t="s">
        <v>36</v>
      </c>
      <c r="F33" s="18"/>
      <c r="G33" s="18"/>
      <c r="H33" s="23"/>
      <c r="I33" s="160" t="s">
        <v>38</v>
      </c>
      <c r="J33" s="161"/>
      <c r="K33" s="33"/>
      <c r="M33" s="25" t="s">
        <v>64</v>
      </c>
      <c r="N33" s="86">
        <v>0.2</v>
      </c>
      <c r="O33" s="10" t="s">
        <v>9</v>
      </c>
      <c r="P33" s="68"/>
      <c r="Q33" s="68"/>
      <c r="R33" s="68"/>
      <c r="U33" s="83"/>
      <c r="V33" s="83"/>
      <c r="W33" s="83"/>
      <c r="X33" s="83"/>
      <c r="Y33" s="83"/>
      <c r="Z33" s="83"/>
    </row>
    <row r="34" spans="1:26" ht="13.5">
      <c r="A34" s="17"/>
      <c r="B34" s="73"/>
      <c r="C34" s="74"/>
      <c r="D34" s="58">
        <f>D33*D23</f>
        <v>5.88235294117647</v>
      </c>
      <c r="E34" s="37" t="s">
        <v>37</v>
      </c>
      <c r="F34" s="18"/>
      <c r="G34" s="18"/>
      <c r="H34" s="23"/>
      <c r="I34" s="39" t="s">
        <v>40</v>
      </c>
      <c r="J34" s="40" t="s">
        <v>41</v>
      </c>
      <c r="K34" s="33"/>
      <c r="L34" s="57"/>
      <c r="M34" s="25" t="s">
        <v>65</v>
      </c>
      <c r="N34" s="86">
        <v>0.1</v>
      </c>
      <c r="O34" s="10" t="s">
        <v>9</v>
      </c>
      <c r="P34" s="68"/>
      <c r="Q34" s="68"/>
      <c r="R34" s="68"/>
      <c r="U34" s="83"/>
      <c r="V34" s="83"/>
      <c r="W34" s="83"/>
      <c r="X34" s="83"/>
      <c r="Y34" s="83"/>
      <c r="Z34" s="83"/>
    </row>
    <row r="35" spans="1:18" ht="12.75" customHeight="1">
      <c r="A35" s="17"/>
      <c r="B35" s="158" t="s">
        <v>39</v>
      </c>
      <c r="C35" s="159"/>
      <c r="D35" s="87">
        <f>D33*0.1/100</f>
        <v>0.013235294117647059</v>
      </c>
      <c r="E35" s="37" t="s">
        <v>36</v>
      </c>
      <c r="F35" s="18"/>
      <c r="G35" s="18"/>
      <c r="H35" s="18"/>
      <c r="I35" s="39" t="s">
        <v>3</v>
      </c>
      <c r="J35" s="88">
        <v>0.1</v>
      </c>
      <c r="K35" s="24"/>
      <c r="L35" s="57"/>
      <c r="M35" s="89" t="s">
        <v>93</v>
      </c>
      <c r="N35" s="86">
        <v>0.2</v>
      </c>
      <c r="O35" s="90" t="s">
        <v>43</v>
      </c>
      <c r="P35" s="68"/>
      <c r="Q35" s="68"/>
      <c r="R35" s="68"/>
    </row>
    <row r="36" spans="1:18" ht="13.5">
      <c r="A36" s="17"/>
      <c r="B36" s="64"/>
      <c r="C36" s="67"/>
      <c r="D36" s="87">
        <f>D34*0.1/100</f>
        <v>0.0058823529411764705</v>
      </c>
      <c r="E36" s="37" t="s">
        <v>37</v>
      </c>
      <c r="F36" s="18"/>
      <c r="G36" s="18"/>
      <c r="H36" s="18"/>
      <c r="I36" s="39" t="s">
        <v>15</v>
      </c>
      <c r="J36" s="88">
        <v>0.15</v>
      </c>
      <c r="K36" s="33"/>
      <c r="L36" s="57"/>
      <c r="M36" s="89" t="s">
        <v>94</v>
      </c>
      <c r="N36" s="91">
        <v>0.15</v>
      </c>
      <c r="O36" s="92" t="s">
        <v>66</v>
      </c>
      <c r="P36" s="68"/>
      <c r="Q36" s="68"/>
      <c r="R36" s="68"/>
    </row>
    <row r="37" spans="1:12" ht="14.25" thickBot="1">
      <c r="A37" s="17"/>
      <c r="B37" s="175" t="s">
        <v>42</v>
      </c>
      <c r="C37" s="176"/>
      <c r="D37" s="93">
        <v>1</v>
      </c>
      <c r="E37" s="94" t="s">
        <v>43</v>
      </c>
      <c r="F37" s="18"/>
      <c r="G37" s="18"/>
      <c r="H37" s="18"/>
      <c r="I37" s="39" t="s">
        <v>4</v>
      </c>
      <c r="J37" s="88">
        <v>0.207</v>
      </c>
      <c r="K37" s="33"/>
      <c r="L37" s="57"/>
    </row>
    <row r="38" spans="1:11" ht="12.75" customHeight="1" thickTop="1">
      <c r="A38" s="17"/>
      <c r="B38" s="60" t="s">
        <v>44</v>
      </c>
      <c r="C38" s="61"/>
      <c r="D38" s="95">
        <f>D37*D33</f>
        <v>13.235294117647058</v>
      </c>
      <c r="E38" s="63" t="s">
        <v>28</v>
      </c>
      <c r="F38" s="18"/>
      <c r="G38" s="18"/>
      <c r="H38" s="18"/>
      <c r="I38" s="18"/>
      <c r="J38" s="18"/>
      <c r="K38" s="33"/>
    </row>
    <row r="39" spans="1:11" ht="13.5">
      <c r="A39" s="17"/>
      <c r="B39" s="96"/>
      <c r="C39" s="97"/>
      <c r="D39" s="98">
        <f>D34*D37</f>
        <v>5.88235294117647</v>
      </c>
      <c r="E39" s="99" t="s">
        <v>45</v>
      </c>
      <c r="F39" s="18"/>
      <c r="G39" s="18"/>
      <c r="H39" s="18"/>
      <c r="I39" s="18"/>
      <c r="J39" s="18"/>
      <c r="K39" s="33"/>
    </row>
    <row r="40" spans="1:12" ht="13.5">
      <c r="A40" s="17"/>
      <c r="B40" s="18"/>
      <c r="C40" s="18"/>
      <c r="D40" s="82"/>
      <c r="E40" s="21"/>
      <c r="F40" s="18"/>
      <c r="G40" s="18"/>
      <c r="H40" s="18"/>
      <c r="I40" s="188" t="s">
        <v>81</v>
      </c>
      <c r="J40" s="188"/>
      <c r="K40" s="33"/>
      <c r="L40" s="57"/>
    </row>
    <row r="41" spans="1:12" ht="13.5">
      <c r="A41" s="17"/>
      <c r="B41" s="173" t="s">
        <v>46</v>
      </c>
      <c r="C41" s="174"/>
      <c r="D41" s="84"/>
      <c r="E41" s="100"/>
      <c r="F41" s="101"/>
      <c r="G41" s="102"/>
      <c r="H41" s="103"/>
      <c r="I41" s="39" t="s">
        <v>3</v>
      </c>
      <c r="J41" s="104">
        <v>100</v>
      </c>
      <c r="K41" s="24"/>
      <c r="L41" s="57"/>
    </row>
    <row r="42" spans="1:12" ht="13.5">
      <c r="A42" s="17"/>
      <c r="B42" s="158" t="s">
        <v>47</v>
      </c>
      <c r="C42" s="159"/>
      <c r="D42" s="41">
        <f>IF(AC47=TRUE,J41,J42)</f>
        <v>100</v>
      </c>
      <c r="E42" s="105" t="s">
        <v>24</v>
      </c>
      <c r="F42" s="67"/>
      <c r="G42" s="106"/>
      <c r="H42" s="103"/>
      <c r="I42" s="39" t="s">
        <v>4</v>
      </c>
      <c r="J42" s="107">
        <v>200</v>
      </c>
      <c r="K42" s="33"/>
      <c r="L42" s="57"/>
    </row>
    <row r="43" spans="1:12" ht="13.5">
      <c r="A43" s="17"/>
      <c r="B43" s="73"/>
      <c r="C43" s="74"/>
      <c r="D43" s="41"/>
      <c r="E43" s="108"/>
      <c r="F43" s="67"/>
      <c r="G43" s="106"/>
      <c r="H43" s="18"/>
      <c r="I43" s="18"/>
      <c r="J43" s="18"/>
      <c r="K43" s="33"/>
      <c r="L43" s="57"/>
    </row>
    <row r="44" spans="1:11" ht="13.5">
      <c r="A44" s="17"/>
      <c r="B44" s="158" t="s">
        <v>48</v>
      </c>
      <c r="C44" s="159"/>
      <c r="D44" s="109">
        <v>11000</v>
      </c>
      <c r="E44" s="105" t="s">
        <v>49</v>
      </c>
      <c r="F44" s="67"/>
      <c r="G44" s="106"/>
      <c r="H44" s="18"/>
      <c r="I44" s="18"/>
      <c r="J44" s="18"/>
      <c r="K44" s="110"/>
    </row>
    <row r="45" spans="1:11" ht="13.5">
      <c r="A45" s="17"/>
      <c r="B45" s="64"/>
      <c r="C45" s="67"/>
      <c r="D45" s="111"/>
      <c r="E45" s="108"/>
      <c r="F45" s="67"/>
      <c r="G45" s="106"/>
      <c r="H45" s="18"/>
      <c r="I45" s="18"/>
      <c r="J45" s="18"/>
      <c r="K45" s="110"/>
    </row>
    <row r="46" spans="1:11" ht="13.5">
      <c r="A46" s="17"/>
      <c r="B46" s="158" t="s">
        <v>50</v>
      </c>
      <c r="C46" s="159"/>
      <c r="D46" s="109">
        <v>1200</v>
      </c>
      <c r="E46" s="105" t="s">
        <v>51</v>
      </c>
      <c r="F46" s="58">
        <f>+$D$44/$D46</f>
        <v>9.166666666666666</v>
      </c>
      <c r="G46" s="112" t="s">
        <v>28</v>
      </c>
      <c r="H46" s="18"/>
      <c r="I46" s="18"/>
      <c r="J46" s="18"/>
      <c r="K46" s="110"/>
    </row>
    <row r="47" spans="1:29" ht="13.5">
      <c r="A47" s="17"/>
      <c r="B47" s="158" t="s">
        <v>52</v>
      </c>
      <c r="C47" s="159"/>
      <c r="D47" s="113">
        <v>20</v>
      </c>
      <c r="E47" s="105" t="s">
        <v>53</v>
      </c>
      <c r="F47" s="58">
        <f>+$D$44/($D47*D42)</f>
        <v>5.5</v>
      </c>
      <c r="G47" s="112" t="s">
        <v>28</v>
      </c>
      <c r="H47" s="18"/>
      <c r="I47" s="186" t="str">
        <f>CONCATENATE("Vida útil para ",D42," h/año")</f>
        <v>Vida útil para 100 h/año</v>
      </c>
      <c r="J47" s="187"/>
      <c r="K47" s="24"/>
      <c r="AC47" s="11" t="b">
        <v>1</v>
      </c>
    </row>
    <row r="48" spans="1:29" ht="13.5">
      <c r="A48" s="17"/>
      <c r="B48" s="158" t="s">
        <v>54</v>
      </c>
      <c r="C48" s="159"/>
      <c r="D48" s="113">
        <v>5</v>
      </c>
      <c r="E48" s="105" t="s">
        <v>9</v>
      </c>
      <c r="F48" s="58">
        <f>+$D$44*0.006*$D48/D42</f>
        <v>3.3</v>
      </c>
      <c r="G48" s="112" t="s">
        <v>28</v>
      </c>
      <c r="H48" s="18"/>
      <c r="I48" s="114" t="s">
        <v>51</v>
      </c>
      <c r="J48" s="115">
        <f>+$D$44/($F$46+$F$47)</f>
        <v>750</v>
      </c>
      <c r="K48" s="33"/>
      <c r="AC48" s="11" t="b">
        <v>0</v>
      </c>
    </row>
    <row r="49" spans="1:11" ht="13.5">
      <c r="A49" s="17"/>
      <c r="B49" s="158" t="s">
        <v>55</v>
      </c>
      <c r="C49" s="159"/>
      <c r="D49" s="113">
        <v>0.2</v>
      </c>
      <c r="E49" s="105" t="s">
        <v>56</v>
      </c>
      <c r="F49" s="58">
        <f>+$D$44*$D49/(100*D42)</f>
        <v>0.22</v>
      </c>
      <c r="G49" s="112" t="s">
        <v>28</v>
      </c>
      <c r="H49" s="18"/>
      <c r="I49" s="114" t="s">
        <v>53</v>
      </c>
      <c r="J49" s="116">
        <f>+$D$44/($D$42*($F$46+$F$47))</f>
        <v>7.500000000000001</v>
      </c>
      <c r="K49" s="33"/>
    </row>
    <row r="50" spans="1:11" ht="13.5">
      <c r="A50" s="17"/>
      <c r="B50" s="158" t="s">
        <v>57</v>
      </c>
      <c r="C50" s="159"/>
      <c r="D50" s="113">
        <v>0.1</v>
      </c>
      <c r="E50" s="105" t="s">
        <v>56</v>
      </c>
      <c r="F50" s="58">
        <f>+$D$44*$D50/(D42*100)</f>
        <v>0.11</v>
      </c>
      <c r="G50" s="112" t="s">
        <v>28</v>
      </c>
      <c r="H50" s="18"/>
      <c r="I50" s="18"/>
      <c r="J50" s="18"/>
      <c r="K50" s="117"/>
    </row>
    <row r="51" spans="1:11" ht="14.25" thickBot="1">
      <c r="A51" s="17"/>
      <c r="B51" s="175" t="s">
        <v>58</v>
      </c>
      <c r="C51" s="176"/>
      <c r="D51" s="118">
        <v>2.5</v>
      </c>
      <c r="E51" s="119" t="s">
        <v>45</v>
      </c>
      <c r="F51" s="120">
        <f>+D51/D23</f>
        <v>5.625</v>
      </c>
      <c r="G51" s="121" t="s">
        <v>28</v>
      </c>
      <c r="H51" s="18"/>
      <c r="I51" s="18"/>
      <c r="J51" s="18"/>
      <c r="K51" s="24"/>
    </row>
    <row r="52" spans="1:11" ht="14.25" thickTop="1">
      <c r="A52" s="17"/>
      <c r="B52" s="60" t="s">
        <v>59</v>
      </c>
      <c r="C52" s="78"/>
      <c r="D52" s="108"/>
      <c r="E52" s="108"/>
      <c r="F52" s="58">
        <f>SUM(F46:F51)</f>
        <v>23.921666666666663</v>
      </c>
      <c r="G52" s="112" t="s">
        <v>28</v>
      </c>
      <c r="H52" s="18"/>
      <c r="I52" s="18"/>
      <c r="J52" s="18"/>
      <c r="K52" s="24"/>
    </row>
    <row r="53" spans="1:11" ht="13.5">
      <c r="A53" s="17"/>
      <c r="B53" s="122"/>
      <c r="C53" s="123"/>
      <c r="D53" s="124"/>
      <c r="E53" s="124"/>
      <c r="F53" s="125">
        <f>+F52*D23</f>
        <v>10.63185185185185</v>
      </c>
      <c r="G53" s="126" t="s">
        <v>45</v>
      </c>
      <c r="H53" s="18"/>
      <c r="I53" s="18"/>
      <c r="J53" s="18"/>
      <c r="K53" s="127"/>
    </row>
    <row r="54" spans="1:11" ht="13.5">
      <c r="A54" s="17"/>
      <c r="B54" s="18"/>
      <c r="C54" s="18"/>
      <c r="D54" s="21"/>
      <c r="E54" s="21"/>
      <c r="F54" s="18"/>
      <c r="G54" s="23"/>
      <c r="H54" s="18"/>
      <c r="I54" s="18"/>
      <c r="J54" s="18"/>
      <c r="K54" s="128"/>
    </row>
    <row r="55" spans="1:11" ht="13.5">
      <c r="A55" s="17"/>
      <c r="B55" s="179" t="s">
        <v>60</v>
      </c>
      <c r="C55" s="179"/>
      <c r="D55" s="179"/>
      <c r="E55" s="172" t="s">
        <v>86</v>
      </c>
      <c r="F55" s="172"/>
      <c r="G55" s="129"/>
      <c r="H55" s="130"/>
      <c r="I55" s="130"/>
      <c r="J55" s="18"/>
      <c r="K55" s="131"/>
    </row>
    <row r="56" spans="1:11" ht="12.75" customHeight="1">
      <c r="A56" s="17"/>
      <c r="B56" s="180" t="s">
        <v>77</v>
      </c>
      <c r="C56" s="181"/>
      <c r="D56" s="132" t="s">
        <v>78</v>
      </c>
      <c r="E56" s="114" t="s">
        <v>28</v>
      </c>
      <c r="F56" s="114" t="s">
        <v>45</v>
      </c>
      <c r="G56" s="129"/>
      <c r="H56" s="130"/>
      <c r="I56" s="189" t="s">
        <v>98</v>
      </c>
      <c r="J56" s="189"/>
      <c r="K56" s="24"/>
    </row>
    <row r="57" spans="1:11" ht="12.75" customHeight="1">
      <c r="A57" s="17"/>
      <c r="B57" s="39"/>
      <c r="C57" s="39" t="s">
        <v>79</v>
      </c>
      <c r="D57" s="133">
        <f>R30+D38</f>
        <v>28.20235294117647</v>
      </c>
      <c r="E57" s="116">
        <f>IF(AC68=TRUE,D57+F52,D57*0)</f>
        <v>52.12401960784314</v>
      </c>
      <c r="F57" s="134">
        <f>E57*$D$23</f>
        <v>23.166230936819172</v>
      </c>
      <c r="G57" s="135">
        <f>IF(AC68=TRUE,F57,F57*0)</f>
        <v>23.166230936819172</v>
      </c>
      <c r="H57" s="130"/>
      <c r="I57" s="136">
        <v>560</v>
      </c>
      <c r="J57" s="137" t="s">
        <v>99</v>
      </c>
      <c r="K57" s="24"/>
    </row>
    <row r="58" spans="1:11" ht="13.5">
      <c r="A58" s="17"/>
      <c r="B58" s="39"/>
      <c r="C58" s="39" t="s">
        <v>80</v>
      </c>
      <c r="D58" s="133">
        <f>R31+D38</f>
        <v>24.101176470588236</v>
      </c>
      <c r="E58" s="116">
        <f>IF(AC69=TRUE,D58+F52,D58*0)</f>
        <v>0</v>
      </c>
      <c r="F58" s="134">
        <f>E58*$D$23</f>
        <v>0</v>
      </c>
      <c r="G58" s="135">
        <f>IF(AC69=TRUE,F58,F58*0)</f>
        <v>0</v>
      </c>
      <c r="H58" s="130"/>
      <c r="I58" s="130"/>
      <c r="J58" s="18"/>
      <c r="K58" s="24"/>
    </row>
    <row r="59" spans="1:11" ht="13.5">
      <c r="A59" s="17"/>
      <c r="B59" s="18"/>
      <c r="C59" s="138"/>
      <c r="D59" s="21"/>
      <c r="E59" s="19"/>
      <c r="F59" s="139"/>
      <c r="G59" s="129"/>
      <c r="H59" s="130"/>
      <c r="I59" s="130"/>
      <c r="J59" s="18"/>
      <c r="K59" s="24"/>
    </row>
    <row r="60" spans="1:11" ht="24.75" customHeight="1">
      <c r="A60" s="17"/>
      <c r="B60" s="194" t="s">
        <v>95</v>
      </c>
      <c r="C60" s="195"/>
      <c r="D60" s="196"/>
      <c r="E60" s="197" t="s">
        <v>59</v>
      </c>
      <c r="F60" s="197"/>
      <c r="G60" s="129"/>
      <c r="H60" s="130"/>
      <c r="I60" s="130"/>
      <c r="J60" s="18"/>
      <c r="K60" s="24"/>
    </row>
    <row r="61" spans="1:11" ht="13.5">
      <c r="A61" s="17"/>
      <c r="B61" s="180" t="s">
        <v>77</v>
      </c>
      <c r="C61" s="181"/>
      <c r="D61" s="140" t="s">
        <v>61</v>
      </c>
      <c r="E61" s="182" t="s">
        <v>45</v>
      </c>
      <c r="F61" s="183"/>
      <c r="G61" s="141"/>
      <c r="H61" s="130"/>
      <c r="I61" s="130"/>
      <c r="J61" s="18"/>
      <c r="K61" s="24"/>
    </row>
    <row r="62" spans="1:11" ht="13.5">
      <c r="A62" s="17"/>
      <c r="B62" s="39"/>
      <c r="C62" s="39" t="str">
        <f>IF(D42=J41,"Baja","Alta")</f>
        <v>Baja</v>
      </c>
      <c r="D62" s="142">
        <f>D42*D24</f>
        <v>225</v>
      </c>
      <c r="E62" s="184">
        <f>$D$23*(($D$44/$D$46)+$D$44/($D$47*D62*$D$23)+(($D$44*0.006*$D$48)/(D62*$D$23))+$D$44*($D$49+$D$50)/(100*D62*$D$23)+($D$51/$D$23))+$G$57+$G$58</f>
        <v>33.798082788671024</v>
      </c>
      <c r="F62" s="185" t="e">
        <f>$D$25*($D$46/$D$48)+$D$46/($D$49*D62*$D$25)+(($D$46*0.006*$D$50)/(D62*$D$25))+$D$46*($D$51+#REF!)/(100*D62*$D$25)+($D$52/$D$25)+$D$64</f>
        <v>#DIV/0!</v>
      </c>
      <c r="G62" s="23"/>
      <c r="H62" s="18"/>
      <c r="I62" s="18"/>
      <c r="J62" s="18"/>
      <c r="K62" s="24"/>
    </row>
    <row r="63" spans="1:11" ht="13.5">
      <c r="A63" s="17"/>
      <c r="B63" s="18"/>
      <c r="C63" s="18"/>
      <c r="D63" s="21"/>
      <c r="E63" s="21"/>
      <c r="F63" s="143"/>
      <c r="G63" s="144"/>
      <c r="H63" s="18"/>
      <c r="I63" s="18"/>
      <c r="J63" s="18"/>
      <c r="K63" s="24"/>
    </row>
    <row r="64" spans="1:11" ht="13.5">
      <c r="A64" s="17"/>
      <c r="B64" s="18"/>
      <c r="C64" s="18"/>
      <c r="D64" s="21"/>
      <c r="E64" s="21"/>
      <c r="F64" s="18"/>
      <c r="G64" s="23"/>
      <c r="H64" s="18"/>
      <c r="I64" s="18"/>
      <c r="J64" s="18"/>
      <c r="K64" s="24"/>
    </row>
    <row r="65" spans="1:11" ht="13.5">
      <c r="A65" s="17"/>
      <c r="B65" s="18"/>
      <c r="C65" s="18"/>
      <c r="D65" s="21"/>
      <c r="E65" s="21"/>
      <c r="F65" s="18"/>
      <c r="G65" s="23"/>
      <c r="H65" s="18"/>
      <c r="I65" s="18"/>
      <c r="J65" s="18"/>
      <c r="K65" s="24"/>
    </row>
    <row r="66" spans="1:11" ht="12.75" customHeight="1">
      <c r="A66" s="145"/>
      <c r="B66" s="146"/>
      <c r="C66" s="147"/>
      <c r="D66" s="148"/>
      <c r="E66" s="149"/>
      <c r="F66" s="150"/>
      <c r="G66" s="151"/>
      <c r="H66" s="146"/>
      <c r="I66" s="146"/>
      <c r="J66" s="146"/>
      <c r="K66" s="152"/>
    </row>
    <row r="67" spans="4:12" ht="13.5">
      <c r="D67" s="153"/>
      <c r="E67" s="154"/>
      <c r="F67" s="155"/>
      <c r="G67" s="156"/>
      <c r="K67" s="78"/>
      <c r="L67" s="78"/>
    </row>
    <row r="68" spans="11:29" ht="13.5">
      <c r="K68" s="157"/>
      <c r="L68" s="78"/>
      <c r="AC68" s="11" t="b">
        <v>1</v>
      </c>
    </row>
    <row r="69" spans="11:29" ht="13.5">
      <c r="K69" s="157"/>
      <c r="L69" s="78"/>
      <c r="AC69" s="11" t="b">
        <v>0</v>
      </c>
    </row>
    <row r="70" ht="13.5">
      <c r="K70" s="157"/>
    </row>
    <row r="73" ht="13.5">
      <c r="AC73" s="11" t="b">
        <v>1</v>
      </c>
    </row>
    <row r="74" ht="13.5">
      <c r="AC74" s="11" t="b">
        <v>0</v>
      </c>
    </row>
  </sheetData>
  <sheetProtection/>
  <mergeCells count="52">
    <mergeCell ref="M30:M31"/>
    <mergeCell ref="M9:N9"/>
    <mergeCell ref="I27:J27"/>
    <mergeCell ref="M25:O25"/>
    <mergeCell ref="M26:M27"/>
    <mergeCell ref="B60:D60"/>
    <mergeCell ref="E60:F60"/>
    <mergeCell ref="B42:C42"/>
    <mergeCell ref="B44:C44"/>
    <mergeCell ref="B46:C46"/>
    <mergeCell ref="B61:C61"/>
    <mergeCell ref="E61:F61"/>
    <mergeCell ref="E62:F62"/>
    <mergeCell ref="I47:J47"/>
    <mergeCell ref="I40:J40"/>
    <mergeCell ref="I33:J33"/>
    <mergeCell ref="I56:J56"/>
    <mergeCell ref="B56:C56"/>
    <mergeCell ref="B49:C49"/>
    <mergeCell ref="B50:C50"/>
    <mergeCell ref="B47:C47"/>
    <mergeCell ref="B48:C48"/>
    <mergeCell ref="B51:C51"/>
    <mergeCell ref="B29:C29"/>
    <mergeCell ref="B30:C30"/>
    <mergeCell ref="B55:D55"/>
    <mergeCell ref="B13:C13"/>
    <mergeCell ref="B14:C14"/>
    <mergeCell ref="B16:C16"/>
    <mergeCell ref="M16:M17"/>
    <mergeCell ref="E55:F55"/>
    <mergeCell ref="B41:C41"/>
    <mergeCell ref="B35:C35"/>
    <mergeCell ref="B37:C37"/>
    <mergeCell ref="B32:C32"/>
    <mergeCell ref="B33:C33"/>
    <mergeCell ref="B27:C27"/>
    <mergeCell ref="Q27:R28"/>
    <mergeCell ref="M28:M29"/>
    <mergeCell ref="I12:J12"/>
    <mergeCell ref="B17:C17"/>
    <mergeCell ref="I17:J17"/>
    <mergeCell ref="B12:C12"/>
    <mergeCell ref="B15:C15"/>
    <mergeCell ref="M19:N19"/>
    <mergeCell ref="M13:M14"/>
    <mergeCell ref="B21:C21"/>
    <mergeCell ref="B22:C22"/>
    <mergeCell ref="I22:J22"/>
    <mergeCell ref="B20:C20"/>
    <mergeCell ref="B23:C23"/>
    <mergeCell ref="B26:C26"/>
  </mergeCells>
  <conditionalFormatting sqref="J28:J31">
    <cfRule type="cellIs" priority="1" dxfId="0" operator="equal" stopIfTrue="1">
      <formula>$D$30</formula>
    </cfRule>
  </conditionalFormatting>
  <conditionalFormatting sqref="J23:J25">
    <cfRule type="cellIs" priority="2" dxfId="0" operator="equal" stopIfTrue="1">
      <formula>$D$26</formula>
    </cfRule>
  </conditionalFormatting>
  <conditionalFormatting sqref="J18:J20">
    <cfRule type="cellIs" priority="3" dxfId="0" operator="equal" stopIfTrue="1">
      <formula>$D$22</formula>
    </cfRule>
  </conditionalFormatting>
  <conditionalFormatting sqref="J13:J16">
    <cfRule type="cellIs" priority="4" dxfId="0" operator="equal" stopIfTrue="1">
      <formula>$D$12</formula>
    </cfRule>
  </conditionalFormatting>
  <conditionalFormatting sqref="C57">
    <cfRule type="expression" priority="5" dxfId="0" stopIfTrue="1">
      <formula>$G$57&gt;0</formula>
    </cfRule>
  </conditionalFormatting>
  <conditionalFormatting sqref="C58">
    <cfRule type="expression" priority="6" dxfId="0" stopIfTrue="1">
      <formula>$G$58&gt;0</formula>
    </cfRule>
  </conditionalFormatting>
  <conditionalFormatting sqref="J35">
    <cfRule type="expression" priority="7" dxfId="0" stopIfTrue="1">
      <formula>$D$26=25</formula>
    </cfRule>
  </conditionalFormatting>
  <conditionalFormatting sqref="J36">
    <cfRule type="expression" priority="8" dxfId="0" stopIfTrue="1">
      <formula>$D$26=50</formula>
    </cfRule>
  </conditionalFormatting>
  <conditionalFormatting sqref="J37">
    <cfRule type="expression" priority="9" dxfId="0" stopIfTrue="1">
      <formula>$D$26=75</formula>
    </cfRule>
  </conditionalFormatting>
  <conditionalFormatting sqref="J41:J42">
    <cfRule type="cellIs" priority="10" dxfId="0" operator="equal" stopIfTrue="1">
      <formula>$D$42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7" r:id="rId2"/>
  <ignoredErrors>
    <ignoredError sqref="N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A8" sqref="A8"/>
    </sheetView>
  </sheetViews>
  <sheetFormatPr defaultColWidth="11.421875" defaultRowHeight="12.75"/>
  <cols>
    <col min="1" max="1" width="80.00390625" style="3" customWidth="1"/>
  </cols>
  <sheetData>
    <row r="1" s="1" customFormat="1" ht="99" customHeight="1">
      <c r="A1" s="4"/>
    </row>
    <row r="2" spans="1:15" ht="12.75">
      <c r="A2" s="5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" t="s">
        <v>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" t="s">
        <v>120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customHeight="1">
      <c r="A7" s="4" t="s">
        <v>100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" t="s">
        <v>117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4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4" t="s">
        <v>118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4" t="s">
        <v>122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4" t="s">
        <v>102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4" t="s">
        <v>103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4" t="s">
        <v>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4" t="s">
        <v>110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>
      <c r="A17" s="4" t="s">
        <v>104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4" t="s">
        <v>123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4" t="s">
        <v>124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 t="s">
        <v>105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 t="s">
        <v>106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107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 t="s">
        <v>125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8.5" customHeight="1">
      <c r="A25" s="4" t="s">
        <v>108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>
      <c r="A26" s="4" t="s">
        <v>109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2008-09-10T11:46:57Z</cp:lastPrinted>
  <dcterms:created xsi:type="dcterms:W3CDTF">2006-05-11T14:34:13Z</dcterms:created>
  <dcterms:modified xsi:type="dcterms:W3CDTF">2014-06-27T08:45:12Z</dcterms:modified>
  <cp:category/>
  <cp:version/>
  <cp:contentType/>
  <cp:contentStatus/>
</cp:coreProperties>
</file>