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888" windowHeight="8976" tabRatio="852" activeTab="0"/>
  </bookViews>
  <sheets>
    <sheet name="Grada discos" sheetId="1" r:id="rId1"/>
    <sheet name="Metodología" sheetId="2" r:id="rId2"/>
  </sheets>
  <definedNames>
    <definedName name="_xlnm.Print_Area" localSheetId="0">'Grada discos'!$A$1:$K$69</definedName>
    <definedName name="_xlnm.Print_Area" localSheetId="1">'Metodología'!$A$1:$A$28</definedName>
    <definedName name="Z_039E3839_049A_4F05_9EAF_8C8ED138CC23_.wvu.Cols" localSheetId="0" hidden="1">'Grada discos'!$AD:$AD</definedName>
    <definedName name="Z_039E3839_049A_4F05_9EAF_8C8ED138CC23_.wvu.PrintArea" localSheetId="0" hidden="1">'Grada discos'!$A$9:$U$66</definedName>
  </definedNames>
  <calcPr fullCalcOnLoad="1"/>
</workbook>
</file>

<file path=xl/sharedStrings.xml><?xml version="1.0" encoding="utf-8"?>
<sst xmlns="http://schemas.openxmlformats.org/spreadsheetml/2006/main" count="209" uniqueCount="145">
  <si>
    <t>€</t>
  </si>
  <si>
    <t>kW</t>
  </si>
  <si>
    <t>horas</t>
  </si>
  <si>
    <t>%</t>
  </si>
  <si>
    <t>CV</t>
  </si>
  <si>
    <t>años</t>
  </si>
  <si>
    <t>€/L</t>
  </si>
  <si>
    <t>€/kW</t>
  </si>
  <si>
    <t>Seguros</t>
  </si>
  <si>
    <t>Consumo de combustible</t>
  </si>
  <si>
    <t>Resguardo</t>
  </si>
  <si>
    <t>L/h-kW</t>
  </si>
  <si>
    <t>L/h</t>
  </si>
  <si>
    <t>OPERACIÓN:</t>
  </si>
  <si>
    <t xml:space="preserve">APERO: </t>
  </si>
  <si>
    <t>Tipo suelo</t>
  </si>
  <si>
    <t>Ligero</t>
  </si>
  <si>
    <t>Medio</t>
  </si>
  <si>
    <t>Pesado</t>
  </si>
  <si>
    <t>Baja</t>
  </si>
  <si>
    <t>Media</t>
  </si>
  <si>
    <t>Alta</t>
  </si>
  <si>
    <t>Profundidad de trabajo</t>
  </si>
  <si>
    <t>cm</t>
  </si>
  <si>
    <t>Profundidad de trabajo (cm)</t>
  </si>
  <si>
    <t>Anchura apero</t>
  </si>
  <si>
    <t>m</t>
  </si>
  <si>
    <t>Peso apero</t>
  </si>
  <si>
    <t>kg</t>
  </si>
  <si>
    <t>Resistencia suelo</t>
  </si>
  <si>
    <t>Resist.específica (kPa)</t>
  </si>
  <si>
    <t>kPa</t>
  </si>
  <si>
    <t>Fuerza</t>
  </si>
  <si>
    <t>daN</t>
  </si>
  <si>
    <t>Velocidad de trabajo</t>
  </si>
  <si>
    <t>km/h</t>
  </si>
  <si>
    <t>Potencia de tracción</t>
  </si>
  <si>
    <t>h/ha</t>
  </si>
  <si>
    <t>Eficiencia</t>
  </si>
  <si>
    <t>ha/h</t>
  </si>
  <si>
    <t>Nivel de carga de trabajo (%)</t>
  </si>
  <si>
    <t>Potencia tractor necesaria</t>
  </si>
  <si>
    <t>Mediano</t>
  </si>
  <si>
    <t>Grande</t>
  </si>
  <si>
    <t>Muy grande</t>
  </si>
  <si>
    <t>Nivel potencia tractor (CV)</t>
  </si>
  <si>
    <t>Eficiencia de trabajo</t>
  </si>
  <si>
    <t>Consumo combustible</t>
  </si>
  <si>
    <t>Carga</t>
  </si>
  <si>
    <t>Consumo de aceite</t>
  </si>
  <si>
    <t>Precio adquisición</t>
  </si>
  <si>
    <t>amort. - desgaste</t>
  </si>
  <si>
    <t>amort. - obsolescencia</t>
  </si>
  <si>
    <t>interés</t>
  </si>
  <si>
    <t>seguros</t>
  </si>
  <si>
    <t>resguardo</t>
  </si>
  <si>
    <t>mantenim-reparaciones</t>
  </si>
  <si>
    <t>h</t>
  </si>
  <si>
    <t>% PA</t>
  </si>
  <si>
    <t>€/ha</t>
  </si>
  <si>
    <t>h/año</t>
  </si>
  <si>
    <t>€/h</t>
  </si>
  <si>
    <t>Coste total</t>
  </si>
  <si>
    <t>Horas trabajo anuales</t>
  </si>
  <si>
    <t>ha/año</t>
  </si>
  <si>
    <t>Tractor auxiliar</t>
  </si>
  <si>
    <t>Pase de grada</t>
  </si>
  <si>
    <t>Grada de discos</t>
  </si>
  <si>
    <t>RESULTADOS MAPA para 13 cm de profundidad media: De 6 L/ha a 10 L/ha según textura y prof trabajo</t>
  </si>
  <si>
    <t>Anchura apero (m)</t>
  </si>
  <si>
    <t>Nivel de carga del tractor</t>
  </si>
  <si>
    <t>Pequeño</t>
  </si>
  <si>
    <t>Coef. Reducc. Suelo suelto</t>
  </si>
  <si>
    <t>pot tractor CV</t>
  </si>
  <si>
    <t>nivel carga %</t>
  </si>
  <si>
    <t>pot utilizada</t>
  </si>
  <si>
    <t>vel km/h</t>
  </si>
  <si>
    <t>Prf trabajo (cm)</t>
  </si>
  <si>
    <t>medium soil</t>
  </si>
  <si>
    <t>fine soil</t>
  </si>
  <si>
    <t>coarse soil</t>
  </si>
  <si>
    <t>ASAE disk harrow tandem secondary</t>
  </si>
  <si>
    <t>Bajo</t>
  </si>
  <si>
    <t>Alto</t>
  </si>
  <si>
    <t>COSTES DE UTILIZACIÓN</t>
  </si>
  <si>
    <t>COSTES DE POSESIÓN</t>
  </si>
  <si>
    <t>Capacidad trabajo teórica</t>
  </si>
  <si>
    <t>Capacidad trabajo real</t>
  </si>
  <si>
    <t>Coste gasóleo</t>
  </si>
  <si>
    <t>Coste combustible</t>
  </si>
  <si>
    <t>L/ha</t>
  </si>
  <si>
    <t>F(daN)</t>
  </si>
  <si>
    <t>P(kW)</t>
  </si>
  <si>
    <t>anchura max (m)</t>
  </si>
  <si>
    <t>R suelo  kPa</t>
  </si>
  <si>
    <t>ASAE disk harrow offset secondary</t>
  </si>
  <si>
    <t>Factor (L/h-kW)</t>
  </si>
  <si>
    <t>v (km/h)</t>
  </si>
  <si>
    <t>Pot a la barra i/rod+desliz</t>
  </si>
  <si>
    <t>P barra i/rod+desliz</t>
  </si>
  <si>
    <t>Tipo de tractor escogido</t>
  </si>
  <si>
    <t>Potencia tractor escogido</t>
  </si>
  <si>
    <t>Alta (1.000 h/año)</t>
  </si>
  <si>
    <t>Baja (500 h/año)</t>
  </si>
  <si>
    <t>€/h s/comb</t>
  </si>
  <si>
    <t>Utilización anual</t>
  </si>
  <si>
    <t>Utilización apero (h/año)</t>
  </si>
  <si>
    <t>AUXILIAR</t>
  </si>
  <si>
    <t>kg/m</t>
  </si>
  <si>
    <t>€/m</t>
  </si>
  <si>
    <t>Mant.-Reparac</t>
  </si>
  <si>
    <t>Hipótesis tractor auxiliar</t>
  </si>
  <si>
    <t>Costes horarios tractor auxiliar  (€/h)</t>
  </si>
  <si>
    <t>€/h s/comb.</t>
  </si>
  <si>
    <t>Amortización</t>
  </si>
  <si>
    <t>Precio adquis.</t>
  </si>
  <si>
    <t>Tasa interés</t>
  </si>
  <si>
    <t>Cons.carga media</t>
  </si>
  <si>
    <t xml:space="preserve"> +combustible</t>
  </si>
  <si>
    <t>TRACTOR + APERO</t>
  </si>
  <si>
    <t>Los datos de partida de esta operación son los siguientes:</t>
  </si>
  <si>
    <t>Las hipótesis establecidas para el cálculo de los costes son las siguientes:</t>
  </si>
  <si>
    <t>Utilización anual apero: En función de las horas de trabajo anuales elegidas y de la capacidad de trabajo se obtiene la superficie anual trabajada por el apero en ha/año.</t>
  </si>
  <si>
    <t>Precio adquisición tractor</t>
  </si>
  <si>
    <t xml:space="preserve"> €/kW de potencia</t>
  </si>
  <si>
    <t xml:space="preserve">-          Profundidad de trabajo: Alta (15 cm) y baja (10 cm)      </t>
  </si>
  <si>
    <t>-          Anchura apero: baja (3,5 m), media (4,5 m) y alta (7,5 m).</t>
  </si>
  <si>
    <t>-          Peso del apero: Estimado en 400 kg/m</t>
  </si>
  <si>
    <t>-          Resistencia del suelo: A escoger según del tipo de suelo: ligero, medio o pesado</t>
  </si>
  <si>
    <t>-          Eficiencia de la operación: Baja, media o alta (se recomienda escoger alta para esta operación puesto que es la situación más habitual)</t>
  </si>
  <si>
    <t>-          Nivel de carga del tractor: Bajo, medio o alto (se recomienda coger medio para esta operación)</t>
  </si>
  <si>
    <t>-          Velocidad de trabajo: Es un valor tomado de las velocidades recomendadas de trabajo.</t>
  </si>
  <si>
    <t>-          Coeficiente de reducción por suelo suelto: Estimado en 0,5 por considerarse que el suelo se encuentra menos compactado tras las operaciones de laboreo primario.</t>
  </si>
  <si>
    <t>-          Potencia a la barra incluidos rodadura y deslizamiento: Es la potencia necesaria a la barra consideradas unas pérdidas por rodadura y deslizamiento del 25 %.</t>
  </si>
  <si>
    <t>-          Potencia del tractor escogido: Es la potencia del tractor seleccionado por el usuario en función de los resultados obtenidos.</t>
  </si>
  <si>
    <t>-          Coste de combustible: 1,00 €/L</t>
  </si>
  <si>
    <t>-          Horas de trabajo anuales: Se han estimado dos rangos diferentes de utilización del apero al año, baja (100 h/año) y alta (200 h/año)</t>
  </si>
  <si>
    <t>-          Precio de adquisición: Estimado en 2.500 €/m de anchura de trabajo</t>
  </si>
  <si>
    <t>-          Amortización por desgaste: 3.000 h</t>
  </si>
  <si>
    <t>-          Amortización por obsolescencia: 20 años</t>
  </si>
  <si>
    <t>-          Seguros: 0,2 % del precio de adquisición</t>
  </si>
  <si>
    <t>-          Resguardo: 0,1 % del precio de adquisición</t>
  </si>
  <si>
    <t>-          Mantenimiento y reparaciones: 0,75 €/ha</t>
  </si>
  <si>
    <t>-          Utilización anual tractor auxiliar: Se han estimado dos rangos diferentes de trabajo, 500 y 1.000 h/año.</t>
  </si>
  <si>
    <t>-          Interés: 5 %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</si>
</sst>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C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0000"/>
    <numFmt numFmtId="172" formatCode="0.00000000"/>
    <numFmt numFmtId="173" formatCode="0.000000"/>
    <numFmt numFmtId="174" formatCode="0.00000"/>
    <numFmt numFmtId="175" formatCode="0.0000"/>
    <numFmt numFmtId="176" formatCode="#,##0.0"/>
  </numFmts>
  <fonts count="5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sz val="11"/>
      <color indexed="22"/>
      <name val="Arial"/>
      <family val="0"/>
    </font>
    <font>
      <sz val="11"/>
      <color indexed="12"/>
      <name val="Arial"/>
      <family val="0"/>
    </font>
    <font>
      <b/>
      <sz val="11"/>
      <color indexed="10"/>
      <name val="Arial"/>
      <family val="0"/>
    </font>
    <font>
      <sz val="11"/>
      <color indexed="10"/>
      <name val="Arial"/>
      <family val="0"/>
    </font>
    <font>
      <b/>
      <sz val="11"/>
      <color indexed="9"/>
      <name val="Arial"/>
      <family val="0"/>
    </font>
    <font>
      <b/>
      <sz val="11"/>
      <color indexed="42"/>
      <name val="Arial"/>
      <family val="0"/>
    </font>
    <font>
      <sz val="11"/>
      <color indexed="42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11"/>
      <color indexed="9"/>
      <name val="Arial"/>
      <family val="0"/>
    </font>
    <font>
      <b/>
      <u val="single"/>
      <sz val="11"/>
      <color indexed="9"/>
      <name val="Arial"/>
      <family val="0"/>
    </font>
    <font>
      <b/>
      <sz val="11"/>
      <color indexed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94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center"/>
      <protection hidden="1"/>
    </xf>
    <xf numFmtId="0" fontId="5" fillId="34" borderId="11" xfId="0" applyFont="1" applyFill="1" applyBorder="1" applyAlignment="1">
      <alignment horizontal="center"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164" fontId="4" fillId="34" borderId="0" xfId="0" applyNumberFormat="1" applyFont="1" applyFill="1" applyBorder="1" applyAlignment="1" applyProtection="1">
      <alignment horizontal="center"/>
      <protection hidden="1"/>
    </xf>
    <xf numFmtId="0" fontId="5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4" fillId="34" borderId="0" xfId="0" applyNumberFormat="1" applyFont="1" applyFill="1" applyBorder="1" applyAlignment="1" applyProtection="1">
      <alignment horizontal="center"/>
      <protection hidden="1"/>
    </xf>
    <xf numFmtId="0" fontId="7" fillId="34" borderId="0" xfId="0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>
      <alignment horizontal="center"/>
    </xf>
    <xf numFmtId="1" fontId="4" fillId="34" borderId="0" xfId="0" applyNumberFormat="1" applyFont="1" applyFill="1" applyBorder="1" applyAlignment="1" applyProtection="1">
      <alignment horizontal="center"/>
      <protection hidden="1"/>
    </xf>
    <xf numFmtId="0" fontId="7" fillId="34" borderId="15" xfId="0" applyFont="1" applyFill="1" applyBorder="1" applyAlignment="1" applyProtection="1">
      <alignment horizontal="center"/>
      <protection locked="0"/>
    </xf>
    <xf numFmtId="2" fontId="4" fillId="34" borderId="0" xfId="0" applyNumberFormat="1" applyFont="1" applyFill="1" applyBorder="1" applyAlignment="1" applyProtection="1">
      <alignment horizontal="center"/>
      <protection hidden="1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2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left"/>
    </xf>
    <xf numFmtId="0" fontId="4" fillId="34" borderId="16" xfId="0" applyFont="1" applyFill="1" applyBorder="1" applyAlignment="1" applyProtection="1">
      <alignment horizontal="center"/>
      <protection hidden="1"/>
    </xf>
    <xf numFmtId="0" fontId="5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/>
      <protection hidden="1"/>
    </xf>
    <xf numFmtId="0" fontId="4" fillId="35" borderId="17" xfId="0" applyFont="1" applyFill="1" applyBorder="1" applyAlignment="1" applyProtection="1">
      <alignment horizontal="center"/>
      <protection hidden="1"/>
    </xf>
    <xf numFmtId="0" fontId="4" fillId="35" borderId="18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left"/>
    </xf>
    <xf numFmtId="165" fontId="4" fillId="34" borderId="0" xfId="0" applyNumberFormat="1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>
      <alignment horizontal="center"/>
    </xf>
    <xf numFmtId="164" fontId="9" fillId="34" borderId="0" xfId="0" applyNumberFormat="1" applyFont="1" applyFill="1" applyBorder="1" applyAlignment="1" applyProtection="1">
      <alignment horizontal="center"/>
      <protection hidden="1"/>
    </xf>
    <xf numFmtId="0" fontId="8" fillId="34" borderId="14" xfId="0" applyFont="1" applyFill="1" applyBorder="1" applyAlignment="1">
      <alignment horizontal="center"/>
    </xf>
    <xf numFmtId="0" fontId="8" fillId="34" borderId="20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164" fontId="9" fillId="34" borderId="16" xfId="0" applyNumberFormat="1" applyFont="1" applyFill="1" applyBorder="1" applyAlignment="1" applyProtection="1">
      <alignment horizontal="center"/>
      <protection hidden="1"/>
    </xf>
    <xf numFmtId="0" fontId="8" fillId="34" borderId="21" xfId="0" applyFont="1" applyFill="1" applyBorder="1" applyAlignment="1">
      <alignment horizontal="center"/>
    </xf>
    <xf numFmtId="0" fontId="4" fillId="35" borderId="11" xfId="0" applyFont="1" applyFill="1" applyBorder="1" applyAlignment="1" applyProtection="1">
      <alignment horizontal="center"/>
      <protection hidden="1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65" fontId="4" fillId="34" borderId="15" xfId="0" applyNumberFormat="1" applyFont="1" applyFill="1" applyBorder="1" applyAlignment="1" applyProtection="1">
      <alignment horizontal="center"/>
      <protection/>
    </xf>
    <xf numFmtId="165" fontId="4" fillId="33" borderId="14" xfId="0" applyNumberFormat="1" applyFont="1" applyFill="1" applyBorder="1" applyAlignment="1" applyProtection="1">
      <alignment horizontal="center"/>
      <protection/>
    </xf>
    <xf numFmtId="3" fontId="7" fillId="34" borderId="0" xfId="0" applyNumberFormat="1" applyFont="1" applyFill="1" applyBorder="1" applyAlignment="1" applyProtection="1">
      <alignment horizontal="center"/>
      <protection locked="0"/>
    </xf>
    <xf numFmtId="0" fontId="5" fillId="34" borderId="14" xfId="0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3" fontId="7" fillId="34" borderId="15" xfId="0" applyNumberFormat="1" applyFont="1" applyFill="1" applyBorder="1" applyAlignment="1" applyProtection="1">
      <alignment horizontal="center"/>
      <protection locked="0"/>
    </xf>
    <xf numFmtId="3" fontId="4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2" fontId="4" fillId="34" borderId="22" xfId="0" applyNumberFormat="1" applyFont="1" applyFill="1" applyBorder="1" applyAlignment="1" applyProtection="1">
      <alignment horizontal="center"/>
      <protection hidden="1"/>
    </xf>
    <xf numFmtId="0" fontId="5" fillId="34" borderId="19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34" borderId="15" xfId="0" applyFont="1" applyFill="1" applyBorder="1" applyAlignment="1">
      <alignment horizontal="center"/>
    </xf>
    <xf numFmtId="3" fontId="5" fillId="34" borderId="15" xfId="0" applyNumberFormat="1" applyFont="1" applyFill="1" applyBorder="1" applyAlignment="1" applyProtection="1">
      <alignment horizontal="center"/>
      <protection hidden="1"/>
    </xf>
    <xf numFmtId="1" fontId="5" fillId="33" borderId="14" xfId="0" applyNumberFormat="1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8" fillId="34" borderId="16" xfId="0" applyFont="1" applyFill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2" fontId="8" fillId="34" borderId="16" xfId="0" applyNumberFormat="1" applyFont="1" applyFill="1" applyBorder="1" applyAlignment="1">
      <alignment horizontal="center"/>
    </xf>
    <xf numFmtId="0" fontId="8" fillId="34" borderId="21" xfId="0" applyFont="1" applyFill="1" applyBorder="1" applyAlignment="1">
      <alignment/>
    </xf>
    <xf numFmtId="2" fontId="5" fillId="34" borderId="15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1" fontId="5" fillId="33" borderId="0" xfId="0" applyNumberFormat="1" applyFont="1" applyFill="1" applyBorder="1" applyAlignment="1">
      <alignment/>
    </xf>
    <xf numFmtId="0" fontId="4" fillId="34" borderId="15" xfId="0" applyFont="1" applyFill="1" applyBorder="1" applyAlignment="1">
      <alignment horizontal="left" vertical="center" wrapText="1"/>
    </xf>
    <xf numFmtId="2" fontId="4" fillId="34" borderId="15" xfId="0" applyNumberFormat="1" applyFont="1" applyFill="1" applyBorder="1" applyAlignment="1" applyProtection="1">
      <alignment horizontal="center" vertical="center"/>
      <protection hidden="1"/>
    </xf>
    <xf numFmtId="2" fontId="5" fillId="34" borderId="15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>
      <alignment horizontal="right"/>
    </xf>
    <xf numFmtId="2" fontId="9" fillId="33" borderId="0" xfId="0" applyNumberFormat="1" applyFont="1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 applyProtection="1">
      <alignment horizontal="center" vertical="center"/>
      <protection hidden="1"/>
    </xf>
    <xf numFmtId="0" fontId="4" fillId="33" borderId="11" xfId="0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0" fillId="34" borderId="0" xfId="0" applyFill="1" applyAlignment="1">
      <alignment/>
    </xf>
    <xf numFmtId="2" fontId="7" fillId="34" borderId="22" xfId="0" applyNumberFormat="1" applyFont="1" applyFill="1" applyBorder="1" applyAlignment="1" applyProtection="1">
      <alignment horizontal="center"/>
      <protection hidden="1" locked="0"/>
    </xf>
    <xf numFmtId="3" fontId="7" fillId="34" borderId="0" xfId="0" applyNumberFormat="1" applyFont="1" applyFill="1" applyBorder="1" applyAlignment="1" applyProtection="1">
      <alignment horizontal="center"/>
      <protection hidden="1" locked="0"/>
    </xf>
    <xf numFmtId="0" fontId="7" fillId="34" borderId="0" xfId="0" applyFont="1" applyFill="1" applyBorder="1" applyAlignment="1" applyProtection="1">
      <alignment horizontal="center"/>
      <protection hidden="1" locked="0"/>
    </xf>
    <xf numFmtId="0" fontId="0" fillId="34" borderId="0" xfId="0" applyFill="1" applyAlignment="1">
      <alignment horizontal="justify" wrapText="1"/>
    </xf>
    <xf numFmtId="0" fontId="0" fillId="0" borderId="0" xfId="0" applyAlignment="1">
      <alignment horizontal="justify" wrapText="1"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 hidden="1"/>
    </xf>
    <xf numFmtId="0" fontId="12" fillId="33" borderId="0" xfId="0" applyFont="1" applyFill="1" applyBorder="1" applyAlignment="1">
      <alignment/>
    </xf>
    <xf numFmtId="0" fontId="4" fillId="0" borderId="15" xfId="0" applyFont="1" applyFill="1" applyBorder="1" applyAlignment="1">
      <alignment horizontal="left"/>
    </xf>
    <xf numFmtId="49" fontId="0" fillId="34" borderId="0" xfId="0" applyNumberFormat="1" applyFill="1" applyAlignment="1">
      <alignment horizontal="justify" wrapText="1"/>
    </xf>
    <xf numFmtId="49" fontId="13" fillId="33" borderId="0" xfId="0" applyNumberFormat="1" applyFont="1" applyFill="1" applyAlignment="1">
      <alignment horizontal="justify" wrapText="1"/>
    </xf>
    <xf numFmtId="49" fontId="14" fillId="33" borderId="0" xfId="0" applyNumberFormat="1" applyFont="1" applyFill="1" applyAlignment="1">
      <alignment horizont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/>
    </xf>
    <xf numFmtId="176" fontId="15" fillId="0" borderId="0" xfId="0" applyNumberFormat="1" applyFont="1" applyFill="1" applyBorder="1" applyAlignment="1" applyProtection="1">
      <alignment horizontal="center"/>
      <protection hidden="1"/>
    </xf>
    <xf numFmtId="1" fontId="15" fillId="0" borderId="0" xfId="0" applyNumberFormat="1" applyFont="1" applyFill="1" applyBorder="1" applyAlignment="1" applyProtection="1">
      <alignment horizontal="center"/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>
      <alignment wrapText="1"/>
    </xf>
    <xf numFmtId="2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165" fontId="15" fillId="0" borderId="0" xfId="0" applyNumberFormat="1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0" xfId="0" applyFont="1" applyFill="1" applyAlignment="1">
      <alignment/>
    </xf>
    <xf numFmtId="0" fontId="17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/>
    </xf>
    <xf numFmtId="0" fontId="5" fillId="34" borderId="23" xfId="0" applyFont="1" applyFill="1" applyBorder="1" applyAlignment="1" applyProtection="1">
      <alignment horizontal="center"/>
      <protection hidden="1"/>
    </xf>
    <xf numFmtId="0" fontId="5" fillId="34" borderId="24" xfId="0" applyFont="1" applyFill="1" applyBorder="1" applyAlignment="1" applyProtection="1">
      <alignment horizontal="center"/>
      <protection hidden="1"/>
    </xf>
    <xf numFmtId="0" fontId="4" fillId="34" borderId="1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left"/>
    </xf>
    <xf numFmtId="0" fontId="4" fillId="34" borderId="15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6" borderId="23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10" fillId="37" borderId="15" xfId="0" applyFont="1" applyFill="1" applyBorder="1" applyAlignment="1">
      <alignment horizontal="center"/>
    </xf>
    <xf numFmtId="0" fontId="10" fillId="37" borderId="23" xfId="0" applyFont="1" applyFill="1" applyBorder="1" applyAlignment="1">
      <alignment horizontal="center"/>
    </xf>
    <xf numFmtId="0" fontId="10" fillId="37" borderId="24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5" fillId="34" borderId="20" xfId="0" applyFont="1" applyFill="1" applyBorder="1" applyAlignment="1">
      <alignment horizontal="left"/>
    </xf>
    <xf numFmtId="0" fontId="5" fillId="34" borderId="1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0" fillId="37" borderId="23" xfId="0" applyNumberFormat="1" applyFont="1" applyFill="1" applyBorder="1" applyAlignment="1" applyProtection="1">
      <alignment horizontal="center" vertical="center"/>
      <protection hidden="1"/>
    </xf>
    <xf numFmtId="2" fontId="10" fillId="37" borderId="24" xfId="0" applyNumberFormat="1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>
      <alignment horizontal="left"/>
    </xf>
    <xf numFmtId="0" fontId="8" fillId="34" borderId="0" xfId="0" applyFont="1" applyFill="1" applyBorder="1" applyAlignment="1">
      <alignment horizontal="left"/>
    </xf>
    <xf numFmtId="0" fontId="5" fillId="35" borderId="27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4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5.emf" /><Relationship Id="rId3" Type="http://schemas.openxmlformats.org/officeDocument/2006/relationships/image" Target="../media/image16.emf" /><Relationship Id="rId4" Type="http://schemas.openxmlformats.org/officeDocument/2006/relationships/image" Target="../media/image1.emf" /><Relationship Id="rId5" Type="http://schemas.openxmlformats.org/officeDocument/2006/relationships/image" Target="../media/image17.emf" /><Relationship Id="rId6" Type="http://schemas.openxmlformats.org/officeDocument/2006/relationships/image" Target="../media/image15.emf" /><Relationship Id="rId7" Type="http://schemas.openxmlformats.org/officeDocument/2006/relationships/image" Target="../media/image18.emf" /><Relationship Id="rId8" Type="http://schemas.openxmlformats.org/officeDocument/2006/relationships/image" Target="../media/image2.emf" /><Relationship Id="rId9" Type="http://schemas.openxmlformats.org/officeDocument/2006/relationships/image" Target="../media/image8.emf" /><Relationship Id="rId10" Type="http://schemas.openxmlformats.org/officeDocument/2006/relationships/image" Target="../media/image4.emf" /><Relationship Id="rId11" Type="http://schemas.openxmlformats.org/officeDocument/2006/relationships/image" Target="../media/image12.emf" /><Relationship Id="rId12" Type="http://schemas.openxmlformats.org/officeDocument/2006/relationships/image" Target="../media/image22.emf" /><Relationship Id="rId13" Type="http://schemas.openxmlformats.org/officeDocument/2006/relationships/image" Target="../media/image9.emf" /><Relationship Id="rId14" Type="http://schemas.openxmlformats.org/officeDocument/2006/relationships/image" Target="../media/image23.emf" /><Relationship Id="rId15" Type="http://schemas.openxmlformats.org/officeDocument/2006/relationships/image" Target="../media/image7.emf" /><Relationship Id="rId16" Type="http://schemas.openxmlformats.org/officeDocument/2006/relationships/image" Target="../media/image10.emf" /><Relationship Id="rId17" Type="http://schemas.openxmlformats.org/officeDocument/2006/relationships/image" Target="../media/image19.emf" /><Relationship Id="rId18" Type="http://schemas.openxmlformats.org/officeDocument/2006/relationships/image" Target="../media/image21.emf" /><Relationship Id="rId19" Type="http://schemas.openxmlformats.org/officeDocument/2006/relationships/image" Target="../media/image3.emf" /><Relationship Id="rId20" Type="http://schemas.openxmlformats.org/officeDocument/2006/relationships/image" Target="../media/image11.emf" /><Relationship Id="rId21" Type="http://schemas.openxmlformats.org/officeDocument/2006/relationships/image" Target="../media/image20.emf" /><Relationship Id="rId22" Type="http://schemas.openxmlformats.org/officeDocument/2006/relationships/image" Target="../media/image6.emf" /><Relationship Id="rId23" Type="http://schemas.openxmlformats.org/officeDocument/2006/relationships/image" Target="../media/image1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361950</xdr:colOff>
      <xdr:row>8</xdr:row>
      <xdr:rowOff>9525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13</xdr:row>
      <xdr:rowOff>0</xdr:rowOff>
    </xdr:from>
    <xdr:to>
      <xdr:col>7</xdr:col>
      <xdr:colOff>247650</xdr:colOff>
      <xdr:row>13</xdr:row>
      <xdr:rowOff>142875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2152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14</xdr:row>
      <xdr:rowOff>9525</xdr:rowOff>
    </xdr:from>
    <xdr:to>
      <xdr:col>7</xdr:col>
      <xdr:colOff>228600</xdr:colOff>
      <xdr:row>14</xdr:row>
      <xdr:rowOff>142875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237172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15</xdr:row>
      <xdr:rowOff>19050</xdr:rowOff>
    </xdr:from>
    <xdr:to>
      <xdr:col>7</xdr:col>
      <xdr:colOff>219075</xdr:colOff>
      <xdr:row>15</xdr:row>
      <xdr:rowOff>142875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2590800"/>
          <a:ext cx="1333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18</xdr:row>
      <xdr:rowOff>38100</xdr:rowOff>
    </xdr:from>
    <xdr:to>
      <xdr:col>7</xdr:col>
      <xdr:colOff>238125</xdr:colOff>
      <xdr:row>19</xdr:row>
      <xdr:rowOff>19050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71975" y="32385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19</xdr:row>
      <xdr:rowOff>47625</xdr:rowOff>
    </xdr:from>
    <xdr:to>
      <xdr:col>7</xdr:col>
      <xdr:colOff>228600</xdr:colOff>
      <xdr:row>20</xdr:row>
      <xdr:rowOff>9525</xdr:rowOff>
    </xdr:to>
    <xdr:pic>
      <xdr:nvPicPr>
        <xdr:cNvPr id="6" name="Option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71975" y="345757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27</xdr:row>
      <xdr:rowOff>28575</xdr:rowOff>
    </xdr:from>
    <xdr:to>
      <xdr:col>7</xdr:col>
      <xdr:colOff>228600</xdr:colOff>
      <xdr:row>28</xdr:row>
      <xdr:rowOff>9525</xdr:rowOff>
    </xdr:to>
    <xdr:pic>
      <xdr:nvPicPr>
        <xdr:cNvPr id="7" name="Option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51149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28</xdr:row>
      <xdr:rowOff>38100</xdr:rowOff>
    </xdr:from>
    <xdr:to>
      <xdr:col>7</xdr:col>
      <xdr:colOff>228600</xdr:colOff>
      <xdr:row>29</xdr:row>
      <xdr:rowOff>19050</xdr:rowOff>
    </xdr:to>
    <xdr:pic>
      <xdr:nvPicPr>
        <xdr:cNvPr id="8" name="Option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62450" y="53340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29</xdr:row>
      <xdr:rowOff>28575</xdr:rowOff>
    </xdr:from>
    <xdr:to>
      <xdr:col>7</xdr:col>
      <xdr:colOff>228600</xdr:colOff>
      <xdr:row>30</xdr:row>
      <xdr:rowOff>9525</xdr:rowOff>
    </xdr:to>
    <xdr:pic>
      <xdr:nvPicPr>
        <xdr:cNvPr id="9" name="Option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362450" y="5534025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32</xdr:row>
      <xdr:rowOff>19050</xdr:rowOff>
    </xdr:from>
    <xdr:to>
      <xdr:col>7</xdr:col>
      <xdr:colOff>219075</xdr:colOff>
      <xdr:row>33</xdr:row>
      <xdr:rowOff>0</xdr:rowOff>
    </xdr:to>
    <xdr:pic>
      <xdr:nvPicPr>
        <xdr:cNvPr id="10" name="Option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52925" y="615315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33</xdr:row>
      <xdr:rowOff>0</xdr:rowOff>
    </xdr:from>
    <xdr:to>
      <xdr:col>7</xdr:col>
      <xdr:colOff>219075</xdr:colOff>
      <xdr:row>33</xdr:row>
      <xdr:rowOff>142875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352925" y="6343650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34</xdr:row>
      <xdr:rowOff>9525</xdr:rowOff>
    </xdr:from>
    <xdr:to>
      <xdr:col>7</xdr:col>
      <xdr:colOff>209550</xdr:colOff>
      <xdr:row>34</xdr:row>
      <xdr:rowOff>142875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343400" y="65627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22</xdr:row>
      <xdr:rowOff>38100</xdr:rowOff>
    </xdr:from>
    <xdr:to>
      <xdr:col>7</xdr:col>
      <xdr:colOff>247650</xdr:colOff>
      <xdr:row>23</xdr:row>
      <xdr:rowOff>19050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71975" y="4076700"/>
          <a:ext cx="152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23</xdr:row>
      <xdr:rowOff>28575</xdr:rowOff>
    </xdr:from>
    <xdr:to>
      <xdr:col>7</xdr:col>
      <xdr:colOff>228600</xdr:colOff>
      <xdr:row>24</xdr:row>
      <xdr:rowOff>9525</xdr:rowOff>
    </xdr:to>
    <xdr:pic>
      <xdr:nvPicPr>
        <xdr:cNvPr id="14" name="OptionButton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371975" y="42767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85725</xdr:colOff>
      <xdr:row>24</xdr:row>
      <xdr:rowOff>47625</xdr:rowOff>
    </xdr:from>
    <xdr:to>
      <xdr:col>7</xdr:col>
      <xdr:colOff>219075</xdr:colOff>
      <xdr:row>25</xdr:row>
      <xdr:rowOff>9525</xdr:rowOff>
    </xdr:to>
    <xdr:pic>
      <xdr:nvPicPr>
        <xdr:cNvPr id="15" name="OptionButton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362450" y="4505325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37</xdr:row>
      <xdr:rowOff>9525</xdr:rowOff>
    </xdr:from>
    <xdr:to>
      <xdr:col>7</xdr:col>
      <xdr:colOff>219075</xdr:colOff>
      <xdr:row>37</xdr:row>
      <xdr:rowOff>142875</xdr:rowOff>
    </xdr:to>
    <xdr:pic>
      <xdr:nvPicPr>
        <xdr:cNvPr id="16" name="OptionButton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352925" y="71913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38</xdr:row>
      <xdr:rowOff>9525</xdr:rowOff>
    </xdr:from>
    <xdr:to>
      <xdr:col>7</xdr:col>
      <xdr:colOff>219075</xdr:colOff>
      <xdr:row>38</xdr:row>
      <xdr:rowOff>142875</xdr:rowOff>
    </xdr:to>
    <xdr:pic>
      <xdr:nvPicPr>
        <xdr:cNvPr id="17" name="OptionButton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352925" y="74009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39</xdr:row>
      <xdr:rowOff>9525</xdr:rowOff>
    </xdr:from>
    <xdr:to>
      <xdr:col>7</xdr:col>
      <xdr:colOff>219075</xdr:colOff>
      <xdr:row>39</xdr:row>
      <xdr:rowOff>142875</xdr:rowOff>
    </xdr:to>
    <xdr:pic>
      <xdr:nvPicPr>
        <xdr:cNvPr id="18" name="OptionButton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352925" y="761047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40</xdr:row>
      <xdr:rowOff>9525</xdr:rowOff>
    </xdr:from>
    <xdr:to>
      <xdr:col>7</xdr:col>
      <xdr:colOff>219075</xdr:colOff>
      <xdr:row>40</xdr:row>
      <xdr:rowOff>142875</xdr:rowOff>
    </xdr:to>
    <xdr:pic>
      <xdr:nvPicPr>
        <xdr:cNvPr id="19" name="OptionButton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352925" y="7820025"/>
          <a:ext cx="1428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60</xdr:row>
      <xdr:rowOff>28575</xdr:rowOff>
    </xdr:from>
    <xdr:to>
      <xdr:col>1</xdr:col>
      <xdr:colOff>257175</xdr:colOff>
      <xdr:row>61</xdr:row>
      <xdr:rowOff>9525</xdr:rowOff>
    </xdr:to>
    <xdr:pic>
      <xdr:nvPicPr>
        <xdr:cNvPr id="20" name="OptionButton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14325" y="1203007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61</xdr:row>
      <xdr:rowOff>28575</xdr:rowOff>
    </xdr:from>
    <xdr:to>
      <xdr:col>1</xdr:col>
      <xdr:colOff>257175</xdr:colOff>
      <xdr:row>62</xdr:row>
      <xdr:rowOff>0</xdr:rowOff>
    </xdr:to>
    <xdr:pic>
      <xdr:nvPicPr>
        <xdr:cNvPr id="21" name="OptionButton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14325" y="12239625"/>
          <a:ext cx="133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49</xdr:row>
      <xdr:rowOff>9525</xdr:rowOff>
    </xdr:from>
    <xdr:to>
      <xdr:col>7</xdr:col>
      <xdr:colOff>247650</xdr:colOff>
      <xdr:row>50</xdr:row>
      <xdr:rowOff>0</xdr:rowOff>
    </xdr:to>
    <xdr:pic>
      <xdr:nvPicPr>
        <xdr:cNvPr id="22" name="OptionButton2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381500" y="9705975"/>
          <a:ext cx="142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104775</xdr:colOff>
      <xdr:row>50</xdr:row>
      <xdr:rowOff>28575</xdr:rowOff>
    </xdr:from>
    <xdr:to>
      <xdr:col>7</xdr:col>
      <xdr:colOff>247650</xdr:colOff>
      <xdr:row>51</xdr:row>
      <xdr:rowOff>0</xdr:rowOff>
    </xdr:to>
    <xdr:pic>
      <xdr:nvPicPr>
        <xdr:cNvPr id="23" name="OptionButton2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381500" y="9934575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1</xdr:row>
      <xdr:rowOff>114300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9:AE76"/>
  <sheetViews>
    <sheetView showZeros="0" tabSelected="1" zoomScalePageLayoutView="0" workbookViewId="0" topLeftCell="A1">
      <selection activeCell="X8" sqref="X8"/>
    </sheetView>
  </sheetViews>
  <sheetFormatPr defaultColWidth="11.421875" defaultRowHeight="12.75"/>
  <cols>
    <col min="1" max="1" width="2.8515625" style="121" customWidth="1"/>
    <col min="2" max="2" width="5.421875" style="121" customWidth="1"/>
    <col min="3" max="3" width="23.57421875" style="121" customWidth="1"/>
    <col min="4" max="4" width="12.140625" style="122" customWidth="1"/>
    <col min="5" max="5" width="6.57421875" style="122" customWidth="1"/>
    <col min="6" max="6" width="7.00390625" style="121" customWidth="1"/>
    <col min="7" max="7" width="6.57421875" style="123" customWidth="1"/>
    <col min="8" max="8" width="4.140625" style="121" customWidth="1"/>
    <col min="9" max="9" width="10.7109375" style="121" customWidth="1"/>
    <col min="10" max="10" width="21.57421875" style="121" customWidth="1"/>
    <col min="11" max="12" width="5.7109375" style="121" customWidth="1"/>
    <col min="13" max="13" width="15.7109375" style="124" hidden="1" customWidth="1"/>
    <col min="14" max="14" width="7.57421875" style="124" hidden="1" customWidth="1"/>
    <col min="15" max="15" width="8.140625" style="124" hidden="1" customWidth="1"/>
    <col min="16" max="16" width="10.421875" style="125" hidden="1" customWidth="1"/>
    <col min="17" max="17" width="7.140625" style="124" hidden="1" customWidth="1"/>
    <col min="18" max="18" width="10.421875" style="124" hidden="1" customWidth="1"/>
    <col min="19" max="19" width="9.57421875" style="124" hidden="1" customWidth="1"/>
    <col min="20" max="20" width="0" style="124" hidden="1" customWidth="1"/>
    <col min="21" max="22" width="6.57421875" style="124" hidden="1" customWidth="1"/>
    <col min="23" max="23" width="6.57421875" style="124" customWidth="1"/>
    <col min="24" max="26" width="11.421875" style="124" customWidth="1"/>
    <col min="27" max="27" width="3.8515625" style="124" customWidth="1"/>
    <col min="28" max="28" width="11.421875" style="124" customWidth="1"/>
    <col min="29" max="29" width="13.28125" style="124" customWidth="1"/>
    <col min="30" max="30" width="11.421875" style="126" hidden="1" customWidth="1"/>
    <col min="31" max="49" width="11.421875" style="124" customWidth="1"/>
    <col min="50" max="16384" width="11.421875" style="121" customWidth="1"/>
  </cols>
  <sheetData>
    <row r="1" ht="14.25"/>
    <row r="2" ht="14.25"/>
    <row r="3" ht="9.75" customHeight="1"/>
    <row r="4" ht="10.5" customHeight="1"/>
    <row r="5" ht="9" customHeight="1"/>
    <row r="6" ht="9.75" customHeight="1"/>
    <row r="7" ht="14.25"/>
    <row r="8" ht="14.25"/>
    <row r="9" spans="1:11" ht="14.25">
      <c r="A9" s="1"/>
      <c r="B9" s="2"/>
      <c r="C9" s="2"/>
      <c r="D9" s="3"/>
      <c r="E9" s="3"/>
      <c r="F9" s="2"/>
      <c r="G9" s="2"/>
      <c r="H9" s="2"/>
      <c r="I9" s="2"/>
      <c r="J9" s="2"/>
      <c r="K9" s="4"/>
    </row>
    <row r="10" spans="1:30" ht="12.75" customHeight="1">
      <c r="A10" s="5"/>
      <c r="B10" s="6"/>
      <c r="C10" s="7" t="s">
        <v>13</v>
      </c>
      <c r="D10" s="8" t="s">
        <v>66</v>
      </c>
      <c r="E10" s="9"/>
      <c r="F10" s="10"/>
      <c r="G10" s="10"/>
      <c r="H10" s="6"/>
      <c r="I10" s="6"/>
      <c r="J10" s="6"/>
      <c r="K10" s="11"/>
      <c r="M10" s="184" t="s">
        <v>107</v>
      </c>
      <c r="N10" s="185"/>
      <c r="AC10" s="125"/>
      <c r="AD10" s="128"/>
    </row>
    <row r="11" spans="1:31" ht="13.5">
      <c r="A11" s="5"/>
      <c r="B11" s="6"/>
      <c r="C11" s="7" t="s">
        <v>14</v>
      </c>
      <c r="D11" s="8" t="s">
        <v>67</v>
      </c>
      <c r="E11" s="9"/>
      <c r="F11" s="8"/>
      <c r="G11" s="8"/>
      <c r="H11" s="6"/>
      <c r="I11" s="6"/>
      <c r="J11" s="6"/>
      <c r="K11" s="12"/>
      <c r="AD11" s="128" t="b">
        <v>0</v>
      </c>
      <c r="AE11" s="125"/>
    </row>
    <row r="12" spans="1:31" ht="16.5" customHeight="1">
      <c r="A12" s="5"/>
      <c r="B12" s="6"/>
      <c r="C12" s="6"/>
      <c r="D12" s="9"/>
      <c r="E12" s="9"/>
      <c r="F12" s="6"/>
      <c r="G12" s="6"/>
      <c r="H12" s="13"/>
      <c r="I12" s="6"/>
      <c r="J12" s="6"/>
      <c r="K12" s="12"/>
      <c r="AD12" s="128" t="b">
        <v>1</v>
      </c>
      <c r="AE12" s="125"/>
    </row>
    <row r="13" spans="1:30" ht="16.5" customHeight="1">
      <c r="A13" s="5"/>
      <c r="B13" s="176" t="s">
        <v>22</v>
      </c>
      <c r="C13" s="177"/>
      <c r="D13" s="14">
        <f>IF(AD15=TRUE,J19,IF(AD16=TRUE,J20))</f>
        <v>15</v>
      </c>
      <c r="E13" s="15" t="s">
        <v>23</v>
      </c>
      <c r="F13" s="16"/>
      <c r="G13" s="17"/>
      <c r="H13" s="13"/>
      <c r="I13" s="18" t="s">
        <v>15</v>
      </c>
      <c r="J13" s="19" t="s">
        <v>30</v>
      </c>
      <c r="K13" s="20"/>
      <c r="AD13" s="126" t="b">
        <v>0</v>
      </c>
    </row>
    <row r="14" spans="1:11" ht="16.5" customHeight="1">
      <c r="A14" s="5"/>
      <c r="B14" s="155" t="s">
        <v>25</v>
      </c>
      <c r="C14" s="156"/>
      <c r="D14" s="21">
        <f>IF(AD19=TRUE,J23,IF(AD20=TRUE,J24,IF(AD21=TRUE,J25)))</f>
        <v>4.5</v>
      </c>
      <c r="E14" s="22" t="s">
        <v>26</v>
      </c>
      <c r="F14" s="23"/>
      <c r="G14" s="24"/>
      <c r="H14" s="105"/>
      <c r="I14" s="18" t="s">
        <v>16</v>
      </c>
      <c r="J14" s="19">
        <v>40</v>
      </c>
      <c r="K14" s="20"/>
    </row>
    <row r="15" spans="1:30" ht="16.5" customHeight="1">
      <c r="A15" s="5"/>
      <c r="B15" s="155" t="s">
        <v>27</v>
      </c>
      <c r="C15" s="156"/>
      <c r="D15" s="25">
        <f>F15*D14</f>
        <v>1800</v>
      </c>
      <c r="E15" s="22" t="s">
        <v>28</v>
      </c>
      <c r="F15" s="26">
        <v>400</v>
      </c>
      <c r="G15" s="27" t="s">
        <v>108</v>
      </c>
      <c r="H15" s="105"/>
      <c r="I15" s="18" t="s">
        <v>17</v>
      </c>
      <c r="J15" s="19">
        <v>60</v>
      </c>
      <c r="K15" s="20"/>
      <c r="AD15" s="126" t="b">
        <v>0</v>
      </c>
    </row>
    <row r="16" spans="1:30" ht="16.5" customHeight="1">
      <c r="A16" s="5"/>
      <c r="B16" s="28"/>
      <c r="C16" s="29"/>
      <c r="D16" s="30"/>
      <c r="E16" s="31"/>
      <c r="F16" s="23"/>
      <c r="G16" s="24"/>
      <c r="H16" s="105"/>
      <c r="I16" s="18" t="s">
        <v>18</v>
      </c>
      <c r="J16" s="19">
        <v>80</v>
      </c>
      <c r="K16" s="20"/>
      <c r="AD16" s="126" t="b">
        <v>1</v>
      </c>
    </row>
    <row r="17" spans="1:11" ht="16.5" customHeight="1">
      <c r="A17" s="5"/>
      <c r="B17" s="155" t="s">
        <v>29</v>
      </c>
      <c r="C17" s="156"/>
      <c r="D17" s="30">
        <f>IF(AD11=TRUE,J14,IF(AD12=TRUE,J15,IF(AD13=TRUE,J16)))</f>
        <v>60</v>
      </c>
      <c r="E17" s="22" t="s">
        <v>31</v>
      </c>
      <c r="F17" s="23"/>
      <c r="G17" s="24"/>
      <c r="H17" s="13"/>
      <c r="I17" s="6"/>
      <c r="J17" s="6"/>
      <c r="K17" s="11"/>
    </row>
    <row r="18" spans="1:11" ht="16.5" customHeight="1">
      <c r="A18" s="5"/>
      <c r="B18" s="155" t="s">
        <v>72</v>
      </c>
      <c r="C18" s="156"/>
      <c r="D18" s="30">
        <v>0.5</v>
      </c>
      <c r="E18" s="22"/>
      <c r="F18" s="23"/>
      <c r="G18" s="24"/>
      <c r="H18" s="13"/>
      <c r="I18" s="174" t="s">
        <v>24</v>
      </c>
      <c r="J18" s="175"/>
      <c r="K18" s="20"/>
    </row>
    <row r="19" spans="1:30" ht="16.5" customHeight="1">
      <c r="A19" s="5"/>
      <c r="B19" s="155" t="s">
        <v>32</v>
      </c>
      <c r="C19" s="156"/>
      <c r="D19" s="25">
        <f>D17*D18*D13*0.1*D14*10</f>
        <v>2025</v>
      </c>
      <c r="E19" s="22" t="s">
        <v>33</v>
      </c>
      <c r="F19" s="23"/>
      <c r="G19" s="24"/>
      <c r="H19" s="105"/>
      <c r="I19" s="18" t="s">
        <v>19</v>
      </c>
      <c r="J19" s="19">
        <v>10</v>
      </c>
      <c r="K19" s="20"/>
      <c r="M19" s="125"/>
      <c r="AD19" s="126" t="b">
        <v>0</v>
      </c>
    </row>
    <row r="20" spans="1:30" ht="16.5" customHeight="1">
      <c r="A20" s="5"/>
      <c r="B20" s="155" t="s">
        <v>34</v>
      </c>
      <c r="C20" s="156"/>
      <c r="D20" s="30">
        <v>7</v>
      </c>
      <c r="E20" s="22" t="s">
        <v>35</v>
      </c>
      <c r="F20" s="23"/>
      <c r="G20" s="24"/>
      <c r="H20" s="105"/>
      <c r="I20" s="18" t="s">
        <v>21</v>
      </c>
      <c r="J20" s="19">
        <v>15</v>
      </c>
      <c r="K20" s="20"/>
      <c r="M20" s="182" t="s">
        <v>81</v>
      </c>
      <c r="N20" s="180" t="s">
        <v>80</v>
      </c>
      <c r="O20" s="125" t="str">
        <f>CONCATENATE(D$13," cm")</f>
        <v>15 cm</v>
      </c>
      <c r="P20" s="129" t="s">
        <v>91</v>
      </c>
      <c r="Q20" s="129" t="s">
        <v>97</v>
      </c>
      <c r="R20" s="129" t="s">
        <v>92</v>
      </c>
      <c r="AD20" s="126" t="b">
        <v>1</v>
      </c>
    </row>
    <row r="21" spans="1:30" ht="16.5" customHeight="1">
      <c r="A21" s="5"/>
      <c r="B21" s="155" t="s">
        <v>36</v>
      </c>
      <c r="C21" s="156"/>
      <c r="D21" s="32">
        <f>D19*10*D20/3600</f>
        <v>39.375</v>
      </c>
      <c r="E21" s="22" t="s">
        <v>1</v>
      </c>
      <c r="F21" s="23"/>
      <c r="G21" s="24"/>
      <c r="H21" s="13"/>
      <c r="I21" s="6"/>
      <c r="J21" s="9"/>
      <c r="K21" s="20"/>
      <c r="L21" s="130"/>
      <c r="M21" s="182"/>
      <c r="N21" s="180"/>
      <c r="O21" s="125" t="str">
        <f>CONCATENATE(D$14," m")</f>
        <v>4.5 m</v>
      </c>
      <c r="P21" s="131">
        <f>(216+11.2*D$20)*0.78*D$13*D$14/10</f>
        <v>1550.0159999999998</v>
      </c>
      <c r="Q21" s="132">
        <f>D$20</f>
        <v>7</v>
      </c>
      <c r="R21" s="133">
        <f>P21*10*D$20/3600</f>
        <v>30.139199999999995</v>
      </c>
      <c r="AD21" s="126" t="b">
        <v>0</v>
      </c>
    </row>
    <row r="22" spans="1:18" ht="16.5" customHeight="1">
      <c r="A22" s="5"/>
      <c r="B22" s="28"/>
      <c r="C22" s="29"/>
      <c r="D22" s="32">
        <f>D21*1.36</f>
        <v>53.550000000000004</v>
      </c>
      <c r="E22" s="22" t="s">
        <v>4</v>
      </c>
      <c r="F22" s="23"/>
      <c r="G22" s="24"/>
      <c r="H22" s="13"/>
      <c r="I22" s="174" t="s">
        <v>69</v>
      </c>
      <c r="J22" s="175"/>
      <c r="K22" s="20"/>
      <c r="L22" s="130"/>
      <c r="M22" s="182"/>
      <c r="N22" s="180" t="s">
        <v>78</v>
      </c>
      <c r="O22" s="125" t="str">
        <f>CONCATENATE(D$13," cm")</f>
        <v>15 cm</v>
      </c>
      <c r="P22" s="131" t="s">
        <v>91</v>
      </c>
      <c r="Q22" s="129" t="s">
        <v>97</v>
      </c>
      <c r="R22" s="129" t="s">
        <v>92</v>
      </c>
    </row>
    <row r="23" spans="1:18" ht="16.5" customHeight="1">
      <c r="A23" s="5"/>
      <c r="B23" s="155" t="s">
        <v>98</v>
      </c>
      <c r="C23" s="156"/>
      <c r="D23" s="32">
        <f>D22/0.75</f>
        <v>71.4</v>
      </c>
      <c r="E23" s="22" t="s">
        <v>4</v>
      </c>
      <c r="F23" s="23"/>
      <c r="G23" s="24"/>
      <c r="H23" s="105"/>
      <c r="I23" s="18" t="s">
        <v>19</v>
      </c>
      <c r="J23" s="33">
        <v>3.5</v>
      </c>
      <c r="K23" s="20"/>
      <c r="L23" s="130"/>
      <c r="M23" s="182"/>
      <c r="N23" s="180"/>
      <c r="O23" s="125" t="str">
        <f>CONCATENATE(D$14," m")</f>
        <v>4.5 m</v>
      </c>
      <c r="P23" s="131">
        <f>(216+11.2*D$20)*0.88*D$13*D$14/10</f>
        <v>1748.736</v>
      </c>
      <c r="Q23" s="132">
        <f>D$20</f>
        <v>7</v>
      </c>
      <c r="R23" s="133">
        <f>P23*10*D$20/3600</f>
        <v>34.0032</v>
      </c>
    </row>
    <row r="24" spans="1:30" ht="16.5" customHeight="1">
      <c r="A24" s="5"/>
      <c r="B24" s="28"/>
      <c r="C24" s="29"/>
      <c r="D24" s="32"/>
      <c r="E24" s="22"/>
      <c r="F24" s="23"/>
      <c r="G24" s="24"/>
      <c r="H24" s="105"/>
      <c r="I24" s="18" t="s">
        <v>20</v>
      </c>
      <c r="J24" s="33">
        <v>4.5</v>
      </c>
      <c r="K24" s="20"/>
      <c r="L24" s="130"/>
      <c r="M24" s="182"/>
      <c r="N24" s="181" t="s">
        <v>79</v>
      </c>
      <c r="O24" s="125" t="str">
        <f>CONCATENATE(D$13," cm")</f>
        <v>15 cm</v>
      </c>
      <c r="P24" s="131" t="s">
        <v>91</v>
      </c>
      <c r="Q24" s="129" t="s">
        <v>97</v>
      </c>
      <c r="R24" s="129" t="s">
        <v>92</v>
      </c>
      <c r="AD24" s="126" t="b">
        <v>0</v>
      </c>
    </row>
    <row r="25" spans="1:30" ht="16.5" customHeight="1">
      <c r="A25" s="5"/>
      <c r="B25" s="155" t="s">
        <v>86</v>
      </c>
      <c r="C25" s="156"/>
      <c r="D25" s="34">
        <f>10/(D20*D14)</f>
        <v>0.31746031746031744</v>
      </c>
      <c r="E25" s="22" t="s">
        <v>37</v>
      </c>
      <c r="F25" s="23"/>
      <c r="G25" s="24"/>
      <c r="H25" s="105"/>
      <c r="I25" s="18" t="s">
        <v>21</v>
      </c>
      <c r="J25" s="33">
        <v>7.5</v>
      </c>
      <c r="K25" s="20"/>
      <c r="M25" s="182"/>
      <c r="N25" s="181"/>
      <c r="O25" s="125" t="str">
        <f>CONCATENATE(D$14," m")</f>
        <v>4.5 m</v>
      </c>
      <c r="P25" s="131">
        <f>(216+11.2*D$20)*1*D$13*D$14/10</f>
        <v>1987.2</v>
      </c>
      <c r="Q25" s="132">
        <f>D$20</f>
        <v>7</v>
      </c>
      <c r="R25" s="133">
        <f>P25*10*D$20/3600</f>
        <v>38.64</v>
      </c>
      <c r="AD25" s="126" t="b">
        <v>0</v>
      </c>
    </row>
    <row r="26" spans="1:30" ht="16.5" customHeight="1">
      <c r="A26" s="5"/>
      <c r="B26" s="155" t="s">
        <v>38</v>
      </c>
      <c r="C26" s="156"/>
      <c r="D26" s="30">
        <f>IF(AD24=TRUE,J28,IF(AD25=TRUE,J29,IF(AD26=TRUE,J30)))</f>
        <v>0.85</v>
      </c>
      <c r="E26" s="31"/>
      <c r="F26" s="23"/>
      <c r="G26" s="24"/>
      <c r="H26" s="13"/>
      <c r="I26" s="6"/>
      <c r="J26" s="6"/>
      <c r="K26" s="11"/>
      <c r="L26" s="130"/>
      <c r="M26" s="125"/>
      <c r="P26" s="131"/>
      <c r="Q26" s="129"/>
      <c r="R26" s="129"/>
      <c r="AD26" s="126" t="b">
        <v>1</v>
      </c>
    </row>
    <row r="27" spans="1:18" ht="16.5" customHeight="1">
      <c r="A27" s="5"/>
      <c r="B27" s="188" t="s">
        <v>87</v>
      </c>
      <c r="C27" s="189"/>
      <c r="D27" s="37">
        <f>D25/D26</f>
        <v>0.3734827264239029</v>
      </c>
      <c r="E27" s="38" t="s">
        <v>37</v>
      </c>
      <c r="F27" s="23"/>
      <c r="G27" s="24"/>
      <c r="H27" s="13"/>
      <c r="I27" s="174" t="s">
        <v>46</v>
      </c>
      <c r="J27" s="175"/>
      <c r="K27" s="20"/>
      <c r="L27" s="130"/>
      <c r="M27" s="182" t="s">
        <v>95</v>
      </c>
      <c r="N27" s="180" t="s">
        <v>80</v>
      </c>
      <c r="O27" s="125" t="str">
        <f>CONCATENATE(D$13," cm")</f>
        <v>15 cm</v>
      </c>
      <c r="P27" s="131" t="s">
        <v>91</v>
      </c>
      <c r="Q27" s="129" t="s">
        <v>97</v>
      </c>
      <c r="R27" s="129" t="s">
        <v>92</v>
      </c>
    </row>
    <row r="28" spans="1:18" ht="16.5" customHeight="1">
      <c r="A28" s="5"/>
      <c r="B28" s="28"/>
      <c r="C28" s="39"/>
      <c r="D28" s="37">
        <f>1/D27</f>
        <v>2.6774999999999998</v>
      </c>
      <c r="E28" s="38" t="s">
        <v>39</v>
      </c>
      <c r="F28" s="23"/>
      <c r="G28" s="24"/>
      <c r="H28" s="105"/>
      <c r="I28" s="18" t="s">
        <v>19</v>
      </c>
      <c r="J28" s="19">
        <v>0.65</v>
      </c>
      <c r="K28" s="20"/>
      <c r="L28" s="130"/>
      <c r="M28" s="182"/>
      <c r="N28" s="180"/>
      <c r="O28" s="125" t="str">
        <f>CONCATENATE(D$14," m")</f>
        <v>4.5 m</v>
      </c>
      <c r="P28" s="131">
        <f>(254+13.2*D$20)*0.78*D$13*D$14/10</f>
        <v>1823.7959999999998</v>
      </c>
      <c r="Q28" s="132">
        <f>D$20</f>
        <v>7</v>
      </c>
      <c r="R28" s="133">
        <f>P28*10*D$20/3600</f>
        <v>35.4627</v>
      </c>
    </row>
    <row r="29" spans="1:18" ht="16.5" customHeight="1">
      <c r="A29" s="5"/>
      <c r="B29" s="28"/>
      <c r="C29" s="29"/>
      <c r="D29" s="30"/>
      <c r="E29" s="31"/>
      <c r="F29" s="23"/>
      <c r="G29" s="24"/>
      <c r="H29" s="105"/>
      <c r="I29" s="18" t="s">
        <v>20</v>
      </c>
      <c r="J29" s="19">
        <v>0.75</v>
      </c>
      <c r="K29" s="20"/>
      <c r="L29" s="130"/>
      <c r="M29" s="182"/>
      <c r="N29" s="180" t="s">
        <v>78</v>
      </c>
      <c r="O29" s="125" t="str">
        <f>CONCATENATE(D$13," cm")</f>
        <v>15 cm</v>
      </c>
      <c r="P29" s="131" t="s">
        <v>91</v>
      </c>
      <c r="Q29" s="129" t="s">
        <v>97</v>
      </c>
      <c r="R29" s="129" t="s">
        <v>92</v>
      </c>
    </row>
    <row r="30" spans="1:30" ht="16.5" customHeight="1">
      <c r="A30" s="5"/>
      <c r="B30" s="155" t="s">
        <v>70</v>
      </c>
      <c r="C30" s="156"/>
      <c r="D30" s="30">
        <f>IF(AD30=TRUE,J33,IF(AD31=TRUE,J34,IF(AD32=TRUE,J35)))</f>
        <v>75</v>
      </c>
      <c r="E30" s="22" t="s">
        <v>3</v>
      </c>
      <c r="F30" s="23"/>
      <c r="G30" s="24"/>
      <c r="H30" s="105"/>
      <c r="I30" s="18" t="s">
        <v>21</v>
      </c>
      <c r="J30" s="19">
        <v>0.85</v>
      </c>
      <c r="K30" s="20"/>
      <c r="L30" s="130"/>
      <c r="M30" s="182"/>
      <c r="N30" s="180"/>
      <c r="O30" s="125" t="str">
        <f>CONCATENATE(D$14," m")</f>
        <v>4.5 m</v>
      </c>
      <c r="P30" s="131">
        <f>(254+13.2*D$20)*0.88*D$13*D$14/10</f>
        <v>2057.6159999999995</v>
      </c>
      <c r="Q30" s="132">
        <f>D$20</f>
        <v>7</v>
      </c>
      <c r="R30" s="133">
        <f>P30*10*D$20/3600</f>
        <v>40.00919999999999</v>
      </c>
      <c r="AD30" s="126" t="b">
        <v>0</v>
      </c>
    </row>
    <row r="31" spans="1:30" ht="16.5" customHeight="1">
      <c r="A31" s="5"/>
      <c r="B31" s="155" t="s">
        <v>41</v>
      </c>
      <c r="C31" s="156"/>
      <c r="D31" s="32">
        <f>D23*100/D30</f>
        <v>95.20000000000002</v>
      </c>
      <c r="E31" s="22" t="s">
        <v>4</v>
      </c>
      <c r="F31" s="23"/>
      <c r="G31" s="24"/>
      <c r="H31" s="13"/>
      <c r="I31" s="6"/>
      <c r="J31" s="6"/>
      <c r="K31" s="11"/>
      <c r="L31" s="130"/>
      <c r="M31" s="182"/>
      <c r="N31" s="181" t="s">
        <v>79</v>
      </c>
      <c r="O31" s="125" t="str">
        <f>CONCATENATE(D$13," cm")</f>
        <v>15 cm</v>
      </c>
      <c r="P31" s="131" t="s">
        <v>91</v>
      </c>
      <c r="Q31" s="129" t="s">
        <v>97</v>
      </c>
      <c r="R31" s="129" t="s">
        <v>92</v>
      </c>
      <c r="AD31" s="126" t="b">
        <v>0</v>
      </c>
    </row>
    <row r="32" spans="1:30" ht="16.5" customHeight="1">
      <c r="A32" s="5"/>
      <c r="B32" s="28"/>
      <c r="C32" s="29"/>
      <c r="D32" s="30"/>
      <c r="E32" s="31"/>
      <c r="F32" s="23"/>
      <c r="G32" s="24"/>
      <c r="H32" s="13"/>
      <c r="I32" s="174" t="s">
        <v>40</v>
      </c>
      <c r="J32" s="175"/>
      <c r="K32" s="20"/>
      <c r="L32" s="130"/>
      <c r="M32" s="182"/>
      <c r="N32" s="181"/>
      <c r="O32" s="125" t="str">
        <f>CONCATENATE(D$14," m")</f>
        <v>4.5 m</v>
      </c>
      <c r="P32" s="131">
        <f>(254+13.2*D$20)*1*D$13*D$14/10</f>
        <v>2338.2</v>
      </c>
      <c r="Q32" s="132">
        <f>D$20</f>
        <v>7</v>
      </c>
      <c r="R32" s="133">
        <f>P32*10*D$20/3600</f>
        <v>45.465</v>
      </c>
      <c r="AD32" s="126" t="b">
        <v>1</v>
      </c>
    </row>
    <row r="33" spans="1:13" ht="16.5" customHeight="1">
      <c r="A33" s="5"/>
      <c r="B33" s="155" t="s">
        <v>100</v>
      </c>
      <c r="C33" s="156"/>
      <c r="D33" s="30" t="str">
        <f>IF(AD38=TRUE,"Pequeño",IF(AD39=TRUE,"Mediano",IF(AD40=TRUE,"Grande",IF(AD41=TRUE,"Muy Grande"))))</f>
        <v>Mediano</v>
      </c>
      <c r="E33" s="22"/>
      <c r="F33" s="23"/>
      <c r="G33" s="23"/>
      <c r="H33" s="105"/>
      <c r="I33" s="18" t="s">
        <v>82</v>
      </c>
      <c r="J33" s="19">
        <v>25</v>
      </c>
      <c r="K33" s="20"/>
      <c r="L33" s="130"/>
      <c r="M33" s="125"/>
    </row>
    <row r="34" spans="1:11" ht="16.5" customHeight="1">
      <c r="A34" s="5"/>
      <c r="B34" s="178" t="s">
        <v>101</v>
      </c>
      <c r="C34" s="179"/>
      <c r="D34" s="40">
        <f>IF(AD38=TRUE,J38,IF(AD39=TRUE,J39,IF(AD40=TRUE,J40,IF(AD41=TRUE,J41,""))))</f>
        <v>120</v>
      </c>
      <c r="E34" s="41" t="s">
        <v>4</v>
      </c>
      <c r="F34" s="42"/>
      <c r="G34" s="42"/>
      <c r="H34" s="105"/>
      <c r="I34" s="18" t="s">
        <v>17</v>
      </c>
      <c r="J34" s="19">
        <v>50</v>
      </c>
      <c r="K34" s="20"/>
    </row>
    <row r="35" spans="1:19" ht="16.5" customHeight="1">
      <c r="A35" s="5"/>
      <c r="B35" s="43"/>
      <c r="C35" s="43"/>
      <c r="D35" s="44"/>
      <c r="E35" s="9"/>
      <c r="F35" s="6"/>
      <c r="G35" s="6"/>
      <c r="H35" s="105"/>
      <c r="I35" s="18" t="s">
        <v>83</v>
      </c>
      <c r="J35" s="19">
        <v>75</v>
      </c>
      <c r="K35" s="20"/>
      <c r="L35" s="130"/>
      <c r="M35" s="183" t="s">
        <v>68</v>
      </c>
      <c r="N35" s="183"/>
      <c r="O35" s="183"/>
      <c r="P35" s="183"/>
      <c r="Q35" s="183"/>
      <c r="R35" s="183"/>
      <c r="S35" s="134"/>
    </row>
    <row r="36" spans="1:19" ht="16.5" customHeight="1" thickBot="1">
      <c r="A36" s="5"/>
      <c r="B36" s="190" t="s">
        <v>84</v>
      </c>
      <c r="C36" s="191"/>
      <c r="D36" s="45"/>
      <c r="E36" s="46"/>
      <c r="F36" s="6"/>
      <c r="G36" s="6"/>
      <c r="H36" s="13"/>
      <c r="I36" s="6"/>
      <c r="J36" s="6"/>
      <c r="K36" s="11"/>
      <c r="L36" s="130"/>
      <c r="M36" s="183"/>
      <c r="N36" s="183"/>
      <c r="O36" s="183"/>
      <c r="P36" s="183"/>
      <c r="Q36" s="183"/>
      <c r="R36" s="183"/>
      <c r="S36" s="134"/>
    </row>
    <row r="37" spans="1:18" ht="16.5" customHeight="1" thickTop="1">
      <c r="A37" s="5"/>
      <c r="B37" s="155" t="s">
        <v>9</v>
      </c>
      <c r="C37" s="156"/>
      <c r="D37" s="34">
        <f>IF(D30=J33,J45*D34/1.36,IF(D30=J34,J46*D34/1.36,IF(D30=J35,J47*D34/1.36)))</f>
        <v>18.26470588235294</v>
      </c>
      <c r="E37" s="27" t="s">
        <v>12</v>
      </c>
      <c r="F37" s="6"/>
      <c r="G37" s="6"/>
      <c r="H37" s="13"/>
      <c r="I37" s="162" t="s">
        <v>45</v>
      </c>
      <c r="J37" s="162"/>
      <c r="K37" s="20"/>
      <c r="L37" s="130"/>
      <c r="M37" s="134"/>
      <c r="N37" s="134"/>
      <c r="O37" s="134"/>
      <c r="P37" s="134"/>
      <c r="Q37" s="134"/>
      <c r="R37" s="134"/>
    </row>
    <row r="38" spans="1:30" ht="16.5" customHeight="1">
      <c r="A38" s="5"/>
      <c r="B38" s="28"/>
      <c r="C38" s="29"/>
      <c r="D38" s="34">
        <f>D37*D27</f>
        <v>6.821552150271873</v>
      </c>
      <c r="E38" s="27" t="s">
        <v>90</v>
      </c>
      <c r="F38" s="6"/>
      <c r="G38" s="6"/>
      <c r="H38" s="105"/>
      <c r="I38" s="47" t="s">
        <v>71</v>
      </c>
      <c r="J38" s="19">
        <v>90</v>
      </c>
      <c r="K38" s="20"/>
      <c r="L38" s="130"/>
      <c r="M38" s="183" t="s">
        <v>111</v>
      </c>
      <c r="N38" s="183"/>
      <c r="O38" s="183"/>
      <c r="P38" s="124"/>
      <c r="AD38" s="126" t="b">
        <v>0</v>
      </c>
    </row>
    <row r="39" spans="1:30" ht="16.5" customHeight="1">
      <c r="A39" s="5"/>
      <c r="B39" s="155" t="s">
        <v>49</v>
      </c>
      <c r="C39" s="156"/>
      <c r="D39" s="48">
        <f>D37*0.1/100</f>
        <v>0.01826470588235294</v>
      </c>
      <c r="E39" s="27" t="s">
        <v>12</v>
      </c>
      <c r="F39" s="6"/>
      <c r="G39" s="6"/>
      <c r="H39" s="105"/>
      <c r="I39" s="18" t="s">
        <v>42</v>
      </c>
      <c r="J39" s="19">
        <v>120</v>
      </c>
      <c r="K39" s="20"/>
      <c r="M39" s="165" t="s">
        <v>101</v>
      </c>
      <c r="N39" s="125">
        <f>D34</f>
        <v>120</v>
      </c>
      <c r="O39" s="124" t="s">
        <v>4</v>
      </c>
      <c r="P39" s="124"/>
      <c r="AD39" s="126" t="b">
        <v>1</v>
      </c>
    </row>
    <row r="40" spans="1:30" ht="16.5" customHeight="1">
      <c r="A40" s="5"/>
      <c r="B40" s="28"/>
      <c r="C40" s="29"/>
      <c r="D40" s="48">
        <f>D38*0.1/100</f>
        <v>0.006821552150271874</v>
      </c>
      <c r="E40" s="27" t="s">
        <v>90</v>
      </c>
      <c r="F40" s="6"/>
      <c r="G40" s="6"/>
      <c r="H40" s="105"/>
      <c r="I40" s="18" t="s">
        <v>43</v>
      </c>
      <c r="J40" s="19">
        <v>150</v>
      </c>
      <c r="K40" s="20"/>
      <c r="M40" s="165"/>
      <c r="N40" s="135">
        <f>N39/1.36</f>
        <v>88.23529411764706</v>
      </c>
      <c r="O40" s="124" t="s">
        <v>1</v>
      </c>
      <c r="P40" s="124"/>
      <c r="Q40" s="157" t="s">
        <v>112</v>
      </c>
      <c r="R40" s="157"/>
      <c r="AD40" s="126" t="b">
        <v>0</v>
      </c>
    </row>
    <row r="41" spans="1:30" ht="16.5" customHeight="1" thickBot="1">
      <c r="A41" s="5"/>
      <c r="B41" s="166" t="s">
        <v>88</v>
      </c>
      <c r="C41" s="167"/>
      <c r="D41" s="108">
        <v>1</v>
      </c>
      <c r="E41" s="49" t="s">
        <v>6</v>
      </c>
      <c r="F41" s="6"/>
      <c r="G41" s="6"/>
      <c r="H41" s="105"/>
      <c r="I41" s="18" t="s">
        <v>44</v>
      </c>
      <c r="J41" s="19">
        <v>180</v>
      </c>
      <c r="K41" s="20"/>
      <c r="L41" s="130"/>
      <c r="M41" s="158" t="s">
        <v>115</v>
      </c>
      <c r="N41" s="125">
        <f>+I62</f>
        <v>560</v>
      </c>
      <c r="O41" s="124" t="s">
        <v>7</v>
      </c>
      <c r="P41" s="124"/>
      <c r="Q41" s="157"/>
      <c r="R41" s="157"/>
      <c r="S41" s="136"/>
      <c r="AD41" s="126" t="b">
        <v>0</v>
      </c>
    </row>
    <row r="42" spans="1:19" ht="16.5" customHeight="1" thickTop="1">
      <c r="A42" s="5"/>
      <c r="B42" s="35" t="s">
        <v>89</v>
      </c>
      <c r="C42" s="36"/>
      <c r="D42" s="50">
        <f>D41*D37</f>
        <v>18.26470588235294</v>
      </c>
      <c r="E42" s="51" t="s">
        <v>61</v>
      </c>
      <c r="F42" s="6"/>
      <c r="G42" s="6"/>
      <c r="H42" s="13"/>
      <c r="I42" s="6"/>
      <c r="J42" s="6"/>
      <c r="K42" s="11"/>
      <c r="L42" s="130"/>
      <c r="M42" s="158"/>
      <c r="N42" s="137">
        <f>N40*N41</f>
        <v>49411.76470588235</v>
      </c>
      <c r="O42" s="124" t="s">
        <v>0</v>
      </c>
      <c r="P42" s="124"/>
      <c r="Q42" s="135" t="s">
        <v>60</v>
      </c>
      <c r="R42" s="138" t="s">
        <v>113</v>
      </c>
      <c r="S42" s="135"/>
    </row>
    <row r="43" spans="1:22" ht="16.5" customHeight="1">
      <c r="A43" s="5"/>
      <c r="B43" s="52"/>
      <c r="C43" s="53"/>
      <c r="D43" s="54">
        <f>D38*D41</f>
        <v>6.821552150271873</v>
      </c>
      <c r="E43" s="55" t="s">
        <v>59</v>
      </c>
      <c r="F43" s="6"/>
      <c r="G43" s="6"/>
      <c r="H43" s="13"/>
      <c r="I43" s="162" t="s">
        <v>47</v>
      </c>
      <c r="J43" s="162"/>
      <c r="K43" s="20"/>
      <c r="L43" s="130"/>
      <c r="M43" s="158" t="s">
        <v>114</v>
      </c>
      <c r="N43" s="137">
        <v>12000</v>
      </c>
      <c r="O43" s="124" t="s">
        <v>2</v>
      </c>
      <c r="P43" s="124"/>
      <c r="Q43" s="137">
        <v>500</v>
      </c>
      <c r="R43" s="135">
        <f>$N$42/$N$43+$N$42/($N$44*Q43)+($N$42*$N$45*0.6)/(Q43*100)+($N$42*(($N$47+$N$46)/(Q43*100)))+$N$40*$N$49*$N$48</f>
        <v>14.967058823529412</v>
      </c>
      <c r="S43" s="138"/>
      <c r="U43" s="136"/>
      <c r="V43" s="136"/>
    </row>
    <row r="44" spans="1:25" ht="16.5" customHeight="1">
      <c r="A44" s="5"/>
      <c r="B44" s="43"/>
      <c r="C44" s="43"/>
      <c r="D44" s="44"/>
      <c r="E44" s="9"/>
      <c r="F44" s="6"/>
      <c r="G44" s="6"/>
      <c r="H44" s="13"/>
      <c r="I44" s="18" t="s">
        <v>48</v>
      </c>
      <c r="J44" s="19" t="s">
        <v>96</v>
      </c>
      <c r="K44" s="20"/>
      <c r="L44" s="130"/>
      <c r="M44" s="158"/>
      <c r="N44" s="125">
        <v>20</v>
      </c>
      <c r="O44" s="124" t="s">
        <v>5</v>
      </c>
      <c r="P44" s="124"/>
      <c r="Q44" s="137">
        <v>1000</v>
      </c>
      <c r="R44" s="135">
        <f>$N$42/$N$43+$N$42/($N$44*Q44)+($N$42*$N$45*0.6)/(Q44*100)+($N$42*(($N$47+$N$46)/(Q44*100)))+$N$40*$N$49*$N$48</f>
        <v>10.865882352941176</v>
      </c>
      <c r="S44" s="125"/>
      <c r="U44" s="135"/>
      <c r="V44" s="135"/>
      <c r="W44" s="136"/>
      <c r="X44" s="136"/>
      <c r="Y44" s="138"/>
    </row>
    <row r="45" spans="1:24" ht="16.5" customHeight="1">
      <c r="A45" s="5"/>
      <c r="B45" s="192" t="s">
        <v>85</v>
      </c>
      <c r="C45" s="193"/>
      <c r="D45" s="56"/>
      <c r="E45" s="57"/>
      <c r="F45" s="58"/>
      <c r="G45" s="59"/>
      <c r="H45" s="6"/>
      <c r="I45" s="18" t="s">
        <v>19</v>
      </c>
      <c r="J45" s="60">
        <v>0.1</v>
      </c>
      <c r="K45" s="61"/>
      <c r="M45" s="127" t="s">
        <v>116</v>
      </c>
      <c r="N45" s="128">
        <f>+D52</f>
        <v>5</v>
      </c>
      <c r="O45" s="124" t="s">
        <v>3</v>
      </c>
      <c r="P45" s="124"/>
      <c r="S45" s="138"/>
      <c r="U45" s="138"/>
      <c r="V45" s="138"/>
      <c r="W45" s="135"/>
      <c r="X45" s="135"/>
    </row>
    <row r="46" spans="1:24" ht="16.5" customHeight="1">
      <c r="A46" s="5"/>
      <c r="B46" s="176" t="s">
        <v>63</v>
      </c>
      <c r="C46" s="177"/>
      <c r="D46" s="14">
        <f>IF(AD48=TRUE,J50,J51)</f>
        <v>100</v>
      </c>
      <c r="E46" s="15" t="s">
        <v>60</v>
      </c>
      <c r="F46" s="16"/>
      <c r="G46" s="17"/>
      <c r="H46" s="6"/>
      <c r="I46" s="18" t="s">
        <v>20</v>
      </c>
      <c r="J46" s="60">
        <v>0.15</v>
      </c>
      <c r="K46" s="61"/>
      <c r="M46" s="127" t="s">
        <v>8</v>
      </c>
      <c r="N46" s="128">
        <v>0.2</v>
      </c>
      <c r="O46" s="124" t="s">
        <v>3</v>
      </c>
      <c r="P46" s="124"/>
      <c r="S46" s="138"/>
      <c r="U46" s="125"/>
      <c r="V46" s="125"/>
      <c r="W46" s="138"/>
      <c r="X46" s="138"/>
    </row>
    <row r="47" spans="1:24" ht="16.5" customHeight="1">
      <c r="A47" s="5"/>
      <c r="B47" s="28"/>
      <c r="C47" s="29"/>
      <c r="D47" s="30"/>
      <c r="E47" s="31"/>
      <c r="F47" s="23"/>
      <c r="G47" s="24"/>
      <c r="H47" s="6"/>
      <c r="I47" s="18" t="s">
        <v>21</v>
      </c>
      <c r="J47" s="60">
        <v>0.207</v>
      </c>
      <c r="K47" s="61"/>
      <c r="M47" s="127" t="s">
        <v>10</v>
      </c>
      <c r="N47" s="128">
        <v>0.1</v>
      </c>
      <c r="O47" s="124" t="s">
        <v>3</v>
      </c>
      <c r="P47" s="139"/>
      <c r="Q47" s="139"/>
      <c r="R47" s="139"/>
      <c r="S47" s="138"/>
      <c r="U47" s="138"/>
      <c r="V47" s="138"/>
      <c r="W47" s="125"/>
      <c r="X47" s="125"/>
    </row>
    <row r="48" spans="1:30" ht="16.5" customHeight="1">
      <c r="A48" s="5"/>
      <c r="B48" s="155" t="s">
        <v>50</v>
      </c>
      <c r="C48" s="156"/>
      <c r="D48" s="25">
        <f>F48*D14</f>
        <v>12375</v>
      </c>
      <c r="E48" s="22" t="s">
        <v>0</v>
      </c>
      <c r="F48" s="62">
        <v>2750</v>
      </c>
      <c r="G48" s="63" t="s">
        <v>109</v>
      </c>
      <c r="H48" s="6"/>
      <c r="I48" s="6"/>
      <c r="J48" s="64"/>
      <c r="K48" s="11"/>
      <c r="M48" s="140" t="s">
        <v>110</v>
      </c>
      <c r="N48" s="128">
        <v>0.2</v>
      </c>
      <c r="O48" s="141" t="s">
        <v>6</v>
      </c>
      <c r="P48" s="139"/>
      <c r="Q48" s="139"/>
      <c r="R48" s="139"/>
      <c r="S48" s="138"/>
      <c r="U48" s="138"/>
      <c r="V48" s="138"/>
      <c r="W48" s="138"/>
      <c r="X48" s="138"/>
      <c r="AD48" s="126" t="b">
        <v>1</v>
      </c>
    </row>
    <row r="49" spans="1:30" ht="16.5" customHeight="1">
      <c r="A49" s="5"/>
      <c r="B49" s="65"/>
      <c r="C49" s="23"/>
      <c r="D49" s="25"/>
      <c r="E49" s="31"/>
      <c r="F49" s="23"/>
      <c r="G49" s="66"/>
      <c r="H49" s="6"/>
      <c r="I49" s="162" t="s">
        <v>106</v>
      </c>
      <c r="J49" s="162"/>
      <c r="K49" s="20"/>
      <c r="M49" s="140" t="s">
        <v>117</v>
      </c>
      <c r="N49" s="142">
        <v>0.15</v>
      </c>
      <c r="O49" s="141" t="s">
        <v>11</v>
      </c>
      <c r="P49" s="139"/>
      <c r="Q49" s="139"/>
      <c r="R49" s="139"/>
      <c r="U49" s="138"/>
      <c r="V49" s="138"/>
      <c r="W49" s="138"/>
      <c r="X49" s="138"/>
      <c r="AD49" s="126" t="b">
        <v>0</v>
      </c>
    </row>
    <row r="50" spans="1:24" ht="16.5" customHeight="1">
      <c r="A50" s="5"/>
      <c r="B50" s="155" t="s">
        <v>51</v>
      </c>
      <c r="C50" s="156"/>
      <c r="D50" s="109">
        <v>3000</v>
      </c>
      <c r="E50" s="22" t="s">
        <v>57</v>
      </c>
      <c r="F50" s="34">
        <f>+$D$48/$D50</f>
        <v>4.125</v>
      </c>
      <c r="G50" s="63" t="s">
        <v>61</v>
      </c>
      <c r="H50" s="106"/>
      <c r="I50" s="18" t="s">
        <v>19</v>
      </c>
      <c r="J50" s="33">
        <v>100</v>
      </c>
      <c r="K50" s="20"/>
      <c r="U50" s="138"/>
      <c r="V50" s="138"/>
      <c r="W50" s="138"/>
      <c r="X50" s="138"/>
    </row>
    <row r="51" spans="1:24" ht="16.5" customHeight="1">
      <c r="A51" s="5"/>
      <c r="B51" s="155" t="s">
        <v>52</v>
      </c>
      <c r="C51" s="156"/>
      <c r="D51" s="110">
        <v>20</v>
      </c>
      <c r="E51" s="22" t="s">
        <v>5</v>
      </c>
      <c r="F51" s="34">
        <f>+$D$48/($D51*D46)</f>
        <v>6.1875</v>
      </c>
      <c r="G51" s="63" t="s">
        <v>61</v>
      </c>
      <c r="H51" s="106"/>
      <c r="I51" s="18" t="s">
        <v>21</v>
      </c>
      <c r="J51" s="67">
        <v>200</v>
      </c>
      <c r="K51" s="68"/>
      <c r="T51" s="136"/>
      <c r="W51" s="138"/>
      <c r="X51" s="138"/>
    </row>
    <row r="52" spans="1:21" ht="16.5" customHeight="1">
      <c r="A52" s="5"/>
      <c r="B52" s="155" t="s">
        <v>53</v>
      </c>
      <c r="C52" s="156"/>
      <c r="D52" s="110">
        <v>5</v>
      </c>
      <c r="E52" s="22" t="s">
        <v>3</v>
      </c>
      <c r="F52" s="34">
        <f>+$D$48*0.006*$D52/D46</f>
        <v>3.7125</v>
      </c>
      <c r="G52" s="63" t="s">
        <v>61</v>
      </c>
      <c r="H52" s="6"/>
      <c r="I52" s="6"/>
      <c r="J52" s="64"/>
      <c r="K52" s="11"/>
      <c r="M52" s="180" t="s">
        <v>73</v>
      </c>
      <c r="N52" s="180" t="s">
        <v>74</v>
      </c>
      <c r="O52" s="180" t="s">
        <v>75</v>
      </c>
      <c r="P52" s="180" t="s">
        <v>99</v>
      </c>
      <c r="Q52" s="180" t="s">
        <v>76</v>
      </c>
      <c r="R52" s="180" t="s">
        <v>94</v>
      </c>
      <c r="S52" s="180" t="s">
        <v>77</v>
      </c>
      <c r="T52" s="180" t="s">
        <v>93</v>
      </c>
      <c r="U52" s="135"/>
    </row>
    <row r="53" spans="1:21" ht="16.5" customHeight="1">
      <c r="A53" s="5"/>
      <c r="B53" s="155" t="s">
        <v>54</v>
      </c>
      <c r="C53" s="156"/>
      <c r="D53" s="110">
        <v>0.2</v>
      </c>
      <c r="E53" s="22" t="s">
        <v>58</v>
      </c>
      <c r="F53" s="34">
        <f>+$D$48*$D53/(100*D46)</f>
        <v>0.2475</v>
      </c>
      <c r="G53" s="63" t="s">
        <v>61</v>
      </c>
      <c r="H53" s="6"/>
      <c r="I53" s="6"/>
      <c r="J53" s="64"/>
      <c r="K53" s="11"/>
      <c r="M53" s="180"/>
      <c r="N53" s="180"/>
      <c r="O53" s="180"/>
      <c r="P53" s="180"/>
      <c r="Q53" s="180"/>
      <c r="R53" s="180"/>
      <c r="S53" s="180"/>
      <c r="T53" s="180"/>
      <c r="U53" s="138"/>
    </row>
    <row r="54" spans="1:21" ht="16.5" customHeight="1">
      <c r="A54" s="5"/>
      <c r="B54" s="155" t="s">
        <v>55</v>
      </c>
      <c r="C54" s="156"/>
      <c r="D54" s="110">
        <v>0.1</v>
      </c>
      <c r="E54" s="22" t="s">
        <v>58</v>
      </c>
      <c r="F54" s="34">
        <f>+$D$48*$D54/(D46*100)</f>
        <v>0.12375</v>
      </c>
      <c r="G54" s="63" t="s">
        <v>61</v>
      </c>
      <c r="H54" s="6"/>
      <c r="I54" s="6"/>
      <c r="J54" s="64"/>
      <c r="K54" s="69"/>
      <c r="M54" s="125">
        <v>180</v>
      </c>
      <c r="N54" s="129">
        <v>75</v>
      </c>
      <c r="O54" s="129">
        <f>N54/100*M54</f>
        <v>135</v>
      </c>
      <c r="P54" s="143">
        <f aca="true" t="shared" si="0" ref="P54:P65">0.75*O54</f>
        <v>101.25</v>
      </c>
      <c r="Q54" s="129">
        <f aca="true" t="shared" si="1" ref="Q54:Q65">$D$20</f>
        <v>7</v>
      </c>
      <c r="R54" s="129">
        <f aca="true" t="shared" si="2" ref="R54:R65">D$18*J$15</f>
        <v>30</v>
      </c>
      <c r="S54" s="129">
        <f aca="true" t="shared" si="3" ref="S54:S65">D$13</f>
        <v>15</v>
      </c>
      <c r="T54" s="133">
        <f aca="true" t="shared" si="4" ref="T54:T65">P54*3600*0.1/(1.36*Q54*R54*S54)</f>
        <v>8.508403361344538</v>
      </c>
      <c r="U54" s="125"/>
    </row>
    <row r="55" spans="1:21" ht="16.5" customHeight="1" thickBot="1">
      <c r="A55" s="5"/>
      <c r="B55" s="166" t="s">
        <v>56</v>
      </c>
      <c r="C55" s="167"/>
      <c r="D55" s="108">
        <v>0.75</v>
      </c>
      <c r="E55" s="70" t="s">
        <v>59</v>
      </c>
      <c r="F55" s="71">
        <f>+D55/D27</f>
        <v>2.008125</v>
      </c>
      <c r="G55" s="72" t="s">
        <v>61</v>
      </c>
      <c r="H55" s="6"/>
      <c r="I55" s="160" t="str">
        <f>CONCATENATE("Vida útil para ",D46," h/año")</f>
        <v>Vida útil para 100 h/año</v>
      </c>
      <c r="J55" s="161"/>
      <c r="K55" s="73"/>
      <c r="M55" s="125">
        <v>180</v>
      </c>
      <c r="N55" s="129">
        <v>50</v>
      </c>
      <c r="O55" s="129">
        <f aca="true" t="shared" si="5" ref="O55:O65">N55/100*M55</f>
        <v>90</v>
      </c>
      <c r="P55" s="143">
        <f t="shared" si="0"/>
        <v>67.5</v>
      </c>
      <c r="Q55" s="129">
        <f t="shared" si="1"/>
        <v>7</v>
      </c>
      <c r="R55" s="129">
        <f t="shared" si="2"/>
        <v>30</v>
      </c>
      <c r="S55" s="129">
        <f t="shared" si="3"/>
        <v>15</v>
      </c>
      <c r="T55" s="133">
        <f t="shared" si="4"/>
        <v>5.6722689075630255</v>
      </c>
      <c r="U55" s="138"/>
    </row>
    <row r="56" spans="1:21" ht="16.5" customHeight="1" thickTop="1">
      <c r="A56" s="5"/>
      <c r="B56" s="35" t="s">
        <v>62</v>
      </c>
      <c r="C56" s="74"/>
      <c r="D56" s="31"/>
      <c r="E56" s="31"/>
      <c r="F56" s="34">
        <f>SUM(F50:F55)</f>
        <v>16.404375</v>
      </c>
      <c r="G56" s="63" t="s">
        <v>61</v>
      </c>
      <c r="H56" s="6"/>
      <c r="I56" s="75" t="s">
        <v>57</v>
      </c>
      <c r="J56" s="76">
        <f>+$D$48/($F$50+$F$51)</f>
        <v>1200</v>
      </c>
      <c r="K56" s="77"/>
      <c r="M56" s="125">
        <v>180</v>
      </c>
      <c r="N56" s="129">
        <v>25</v>
      </c>
      <c r="O56" s="129">
        <f t="shared" si="5"/>
        <v>45</v>
      </c>
      <c r="P56" s="143">
        <f t="shared" si="0"/>
        <v>33.75</v>
      </c>
      <c r="Q56" s="129">
        <f t="shared" si="1"/>
        <v>7</v>
      </c>
      <c r="R56" s="129">
        <f t="shared" si="2"/>
        <v>30</v>
      </c>
      <c r="S56" s="129">
        <f t="shared" si="3"/>
        <v>15</v>
      </c>
      <c r="T56" s="133">
        <f t="shared" si="4"/>
        <v>2.8361344537815127</v>
      </c>
      <c r="U56" s="138"/>
    </row>
    <row r="57" spans="1:21" ht="16.5" customHeight="1">
      <c r="A57" s="5"/>
      <c r="B57" s="78"/>
      <c r="C57" s="79"/>
      <c r="D57" s="80"/>
      <c r="E57" s="80"/>
      <c r="F57" s="81">
        <f>+F56*D27</f>
        <v>6.1267507002801125</v>
      </c>
      <c r="G57" s="82" t="s">
        <v>59</v>
      </c>
      <c r="H57" s="6"/>
      <c r="I57" s="75" t="s">
        <v>5</v>
      </c>
      <c r="J57" s="83">
        <f>+$D$48/($D$46*($F$50+$F$51))</f>
        <v>12</v>
      </c>
      <c r="K57" s="11"/>
      <c r="M57" s="125">
        <v>150</v>
      </c>
      <c r="N57" s="129">
        <v>75</v>
      </c>
      <c r="O57" s="129">
        <f t="shared" si="5"/>
        <v>112.5</v>
      </c>
      <c r="P57" s="143">
        <f t="shared" si="0"/>
        <v>84.375</v>
      </c>
      <c r="Q57" s="129">
        <f t="shared" si="1"/>
        <v>7</v>
      </c>
      <c r="R57" s="129">
        <f t="shared" si="2"/>
        <v>30</v>
      </c>
      <c r="S57" s="129">
        <f t="shared" si="3"/>
        <v>15</v>
      </c>
      <c r="T57" s="133">
        <f t="shared" si="4"/>
        <v>7.090336134453781</v>
      </c>
      <c r="U57" s="138"/>
    </row>
    <row r="58" spans="1:21" ht="16.5" customHeight="1">
      <c r="A58" s="5"/>
      <c r="B58" s="6"/>
      <c r="C58" s="84"/>
      <c r="D58" s="85"/>
      <c r="E58" s="85"/>
      <c r="F58" s="84"/>
      <c r="G58" s="86"/>
      <c r="H58" s="6"/>
      <c r="I58" s="159"/>
      <c r="J58" s="159"/>
      <c r="K58" s="11"/>
      <c r="M58" s="125">
        <v>150</v>
      </c>
      <c r="N58" s="129">
        <v>50</v>
      </c>
      <c r="O58" s="129">
        <f t="shared" si="5"/>
        <v>75</v>
      </c>
      <c r="P58" s="143">
        <f t="shared" si="0"/>
        <v>56.25</v>
      </c>
      <c r="Q58" s="129">
        <f t="shared" si="1"/>
        <v>7</v>
      </c>
      <c r="R58" s="129">
        <f t="shared" si="2"/>
        <v>30</v>
      </c>
      <c r="S58" s="129">
        <f t="shared" si="3"/>
        <v>15</v>
      </c>
      <c r="T58" s="133">
        <f t="shared" si="4"/>
        <v>4.726890756302521</v>
      </c>
      <c r="U58" s="138"/>
    </row>
    <row r="59" spans="1:20" ht="16.5" customHeight="1">
      <c r="A59" s="5"/>
      <c r="B59" s="163" t="s">
        <v>65</v>
      </c>
      <c r="C59" s="163"/>
      <c r="D59" s="163"/>
      <c r="E59" s="164" t="s">
        <v>118</v>
      </c>
      <c r="F59" s="164"/>
      <c r="G59" s="87"/>
      <c r="H59" s="6"/>
      <c r="I59" s="7"/>
      <c r="J59" s="88"/>
      <c r="K59" s="11"/>
      <c r="M59" s="125">
        <v>150</v>
      </c>
      <c r="N59" s="129">
        <v>25</v>
      </c>
      <c r="O59" s="129">
        <f t="shared" si="5"/>
        <v>37.5</v>
      </c>
      <c r="P59" s="143">
        <f t="shared" si="0"/>
        <v>28.125</v>
      </c>
      <c r="Q59" s="129">
        <f t="shared" si="1"/>
        <v>7</v>
      </c>
      <c r="R59" s="129">
        <f t="shared" si="2"/>
        <v>30</v>
      </c>
      <c r="S59" s="129">
        <f t="shared" si="3"/>
        <v>15</v>
      </c>
      <c r="T59" s="133">
        <f t="shared" si="4"/>
        <v>2.3634453781512605</v>
      </c>
    </row>
    <row r="60" spans="1:20" ht="16.5" customHeight="1">
      <c r="A60" s="5"/>
      <c r="B60" s="153" t="s">
        <v>105</v>
      </c>
      <c r="C60" s="154"/>
      <c r="D60" s="89" t="s">
        <v>104</v>
      </c>
      <c r="E60" s="75" t="s">
        <v>61</v>
      </c>
      <c r="F60" s="75" t="s">
        <v>59</v>
      </c>
      <c r="G60" s="113"/>
      <c r="H60" s="114"/>
      <c r="I60" s="114"/>
      <c r="J60" s="6"/>
      <c r="K60" s="11"/>
      <c r="M60" s="125">
        <v>120</v>
      </c>
      <c r="N60" s="129">
        <v>75</v>
      </c>
      <c r="O60" s="129">
        <f t="shared" si="5"/>
        <v>90</v>
      </c>
      <c r="P60" s="143">
        <f t="shared" si="0"/>
        <v>67.5</v>
      </c>
      <c r="Q60" s="129">
        <f t="shared" si="1"/>
        <v>7</v>
      </c>
      <c r="R60" s="129">
        <f t="shared" si="2"/>
        <v>30</v>
      </c>
      <c r="S60" s="129">
        <f t="shared" si="3"/>
        <v>15</v>
      </c>
      <c r="T60" s="133">
        <f t="shared" si="4"/>
        <v>5.6722689075630255</v>
      </c>
    </row>
    <row r="61" spans="1:20" ht="16.5" customHeight="1">
      <c r="A61" s="5"/>
      <c r="B61" s="18"/>
      <c r="C61" s="18" t="s">
        <v>103</v>
      </c>
      <c r="D61" s="90">
        <f>R43</f>
        <v>14.967058823529412</v>
      </c>
      <c r="E61" s="83">
        <f>IF(AD69=TRUE,D61+D42,D61*0)</f>
        <v>33.23176470588235</v>
      </c>
      <c r="F61" s="91">
        <f>E61*$D$27</f>
        <v>12.41149008623057</v>
      </c>
      <c r="G61" s="115">
        <f>IF(AD69=TRUE,F61,F61*0)</f>
        <v>12.41149008623057</v>
      </c>
      <c r="H61" s="114"/>
      <c r="I61" s="152" t="s">
        <v>123</v>
      </c>
      <c r="J61" s="152"/>
      <c r="K61" s="11"/>
      <c r="M61" s="125">
        <v>120</v>
      </c>
      <c r="N61" s="129">
        <v>50</v>
      </c>
      <c r="O61" s="129">
        <f t="shared" si="5"/>
        <v>60</v>
      </c>
      <c r="P61" s="143">
        <f t="shared" si="0"/>
        <v>45</v>
      </c>
      <c r="Q61" s="129">
        <f t="shared" si="1"/>
        <v>7</v>
      </c>
      <c r="R61" s="129">
        <f t="shared" si="2"/>
        <v>30</v>
      </c>
      <c r="S61" s="129">
        <f t="shared" si="3"/>
        <v>15</v>
      </c>
      <c r="T61" s="133">
        <f t="shared" si="4"/>
        <v>3.7815126050420167</v>
      </c>
    </row>
    <row r="62" spans="1:20" ht="16.5" customHeight="1">
      <c r="A62" s="5"/>
      <c r="B62" s="18"/>
      <c r="C62" s="18" t="s">
        <v>102</v>
      </c>
      <c r="D62" s="90">
        <f>R44</f>
        <v>10.865882352941176</v>
      </c>
      <c r="E62" s="83">
        <f>IF(AD70=TRUE,D62+D42,D62*0)</f>
        <v>0</v>
      </c>
      <c r="F62" s="91">
        <f>E62*$D$27</f>
        <v>0</v>
      </c>
      <c r="G62" s="115">
        <f>IF(AD70=TRUE,F62,F62*0)</f>
        <v>0</v>
      </c>
      <c r="H62" s="114"/>
      <c r="I62" s="151">
        <v>560</v>
      </c>
      <c r="J62" s="117" t="s">
        <v>124</v>
      </c>
      <c r="K62" s="11"/>
      <c r="M62" s="125">
        <v>120</v>
      </c>
      <c r="N62" s="129">
        <v>25</v>
      </c>
      <c r="O62" s="129">
        <f t="shared" si="5"/>
        <v>30</v>
      </c>
      <c r="P62" s="143">
        <f t="shared" si="0"/>
        <v>22.5</v>
      </c>
      <c r="Q62" s="129">
        <f t="shared" si="1"/>
        <v>7</v>
      </c>
      <c r="R62" s="129">
        <f t="shared" si="2"/>
        <v>30</v>
      </c>
      <c r="S62" s="129">
        <f t="shared" si="3"/>
        <v>15</v>
      </c>
      <c r="T62" s="133">
        <f t="shared" si="4"/>
        <v>1.8907563025210083</v>
      </c>
    </row>
    <row r="63" spans="1:20" ht="16.5" customHeight="1">
      <c r="A63" s="5"/>
      <c r="B63" s="6"/>
      <c r="C63" s="92"/>
      <c r="D63" s="9"/>
      <c r="E63" s="7"/>
      <c r="F63" s="93"/>
      <c r="G63" s="113"/>
      <c r="H63" s="114"/>
      <c r="I63" s="114"/>
      <c r="J63" s="6"/>
      <c r="K63" s="11"/>
      <c r="M63" s="125">
        <v>90</v>
      </c>
      <c r="N63" s="129">
        <v>75</v>
      </c>
      <c r="O63" s="129">
        <f t="shared" si="5"/>
        <v>67.5</v>
      </c>
      <c r="P63" s="143">
        <f t="shared" si="0"/>
        <v>50.625</v>
      </c>
      <c r="Q63" s="129">
        <f t="shared" si="1"/>
        <v>7</v>
      </c>
      <c r="R63" s="129">
        <f t="shared" si="2"/>
        <v>30</v>
      </c>
      <c r="S63" s="129">
        <f t="shared" si="3"/>
        <v>15</v>
      </c>
      <c r="T63" s="133">
        <f t="shared" si="4"/>
        <v>4.254201680672269</v>
      </c>
    </row>
    <row r="64" spans="1:20" ht="16.5" customHeight="1">
      <c r="A64" s="5"/>
      <c r="B64" s="168" t="s">
        <v>119</v>
      </c>
      <c r="C64" s="169"/>
      <c r="D64" s="170"/>
      <c r="E64" s="171" t="s">
        <v>62</v>
      </c>
      <c r="F64" s="171"/>
      <c r="G64" s="113"/>
      <c r="H64" s="114"/>
      <c r="I64" s="114"/>
      <c r="J64" s="6"/>
      <c r="K64" s="11"/>
      <c r="M64" s="125">
        <v>90</v>
      </c>
      <c r="N64" s="129">
        <v>50</v>
      </c>
      <c r="O64" s="129">
        <f t="shared" si="5"/>
        <v>45</v>
      </c>
      <c r="P64" s="143">
        <f t="shared" si="0"/>
        <v>33.75</v>
      </c>
      <c r="Q64" s="129">
        <f t="shared" si="1"/>
        <v>7</v>
      </c>
      <c r="R64" s="129">
        <f t="shared" si="2"/>
        <v>30</v>
      </c>
      <c r="S64" s="129">
        <f t="shared" si="3"/>
        <v>15</v>
      </c>
      <c r="T64" s="133">
        <f t="shared" si="4"/>
        <v>2.8361344537815127</v>
      </c>
    </row>
    <row r="65" spans="1:20" ht="16.5" customHeight="1">
      <c r="A65" s="5"/>
      <c r="B65" s="153" t="s">
        <v>105</v>
      </c>
      <c r="C65" s="154"/>
      <c r="D65" s="94" t="s">
        <v>64</v>
      </c>
      <c r="E65" s="172" t="s">
        <v>59</v>
      </c>
      <c r="F65" s="173"/>
      <c r="G65" s="116"/>
      <c r="H65" s="114"/>
      <c r="I65" s="114"/>
      <c r="J65" s="6"/>
      <c r="K65" s="11"/>
      <c r="M65" s="125">
        <v>90</v>
      </c>
      <c r="N65" s="129">
        <v>25</v>
      </c>
      <c r="O65" s="129">
        <f t="shared" si="5"/>
        <v>22.5</v>
      </c>
      <c r="P65" s="143">
        <f t="shared" si="0"/>
        <v>16.875</v>
      </c>
      <c r="Q65" s="129">
        <f t="shared" si="1"/>
        <v>7</v>
      </c>
      <c r="R65" s="129">
        <f t="shared" si="2"/>
        <v>30</v>
      </c>
      <c r="S65" s="129">
        <f t="shared" si="3"/>
        <v>15</v>
      </c>
      <c r="T65" s="133">
        <f t="shared" si="4"/>
        <v>1.4180672268907564</v>
      </c>
    </row>
    <row r="66" spans="1:11" ht="16.5" customHeight="1">
      <c r="A66" s="5"/>
      <c r="B66" s="18"/>
      <c r="C66" s="18" t="str">
        <f>IF(D46=J50,"Baja","Alta")</f>
        <v>Baja</v>
      </c>
      <c r="D66" s="95">
        <f>D46*D28</f>
        <v>267.75</v>
      </c>
      <c r="E66" s="186">
        <f>+F57+$G$61+$G$62</f>
        <v>18.538240786510684</v>
      </c>
      <c r="F66" s="187" t="e">
        <f>$D$26*($D$47/$D$49)+$D$47/($D$50*D66*$D$26)+(($D$47*0.006*$D$51)/(D66*$D$26))+$D$47*($D$52+$D$53)/(100*D66*$D$26)+($D$54/$D$26)+#REF!</f>
        <v>#DIV/0!</v>
      </c>
      <c r="G66" s="13"/>
      <c r="H66" s="6"/>
      <c r="I66" s="6"/>
      <c r="J66" s="6"/>
      <c r="K66" s="11"/>
    </row>
    <row r="67" spans="1:11" ht="16.5" customHeight="1">
      <c r="A67" s="5"/>
      <c r="B67" s="2"/>
      <c r="C67" s="2"/>
      <c r="D67" s="96"/>
      <c r="E67" s="97"/>
      <c r="F67" s="97"/>
      <c r="G67" s="13"/>
      <c r="H67" s="6"/>
      <c r="I67" s="6"/>
      <c r="J67" s="6"/>
      <c r="K67" s="11"/>
    </row>
    <row r="68" spans="1:11" ht="16.5" customHeight="1">
      <c r="A68" s="5"/>
      <c r="B68" s="6"/>
      <c r="C68" s="6"/>
      <c r="D68" s="9"/>
      <c r="E68" s="9"/>
      <c r="F68" s="98"/>
      <c r="G68" s="13"/>
      <c r="H68" s="6"/>
      <c r="I68" s="6"/>
      <c r="J68" s="6"/>
      <c r="K68" s="11"/>
    </row>
    <row r="69" spans="1:30" ht="16.5" customHeight="1">
      <c r="A69" s="99"/>
      <c r="B69" s="100"/>
      <c r="C69" s="100"/>
      <c r="D69" s="101"/>
      <c r="E69" s="101"/>
      <c r="F69" s="100"/>
      <c r="G69" s="102"/>
      <c r="H69" s="103"/>
      <c r="I69" s="100"/>
      <c r="J69" s="100"/>
      <c r="K69" s="104"/>
      <c r="AD69" s="126" t="b">
        <v>1</v>
      </c>
    </row>
    <row r="70" spans="4:30" ht="16.5" customHeight="1">
      <c r="D70" s="144"/>
      <c r="H70" s="145"/>
      <c r="I70" s="74"/>
      <c r="K70" s="146"/>
      <c r="AD70" s="126" t="b">
        <v>0</v>
      </c>
    </row>
    <row r="71" spans="3:11" ht="16.5" customHeight="1">
      <c r="C71" s="147"/>
      <c r="D71" s="144"/>
      <c r="E71" s="148"/>
      <c r="F71" s="149"/>
      <c r="K71" s="146"/>
    </row>
    <row r="72" spans="4:30" ht="16.5" customHeight="1">
      <c r="D72" s="144"/>
      <c r="E72" s="148"/>
      <c r="F72" s="149"/>
      <c r="G72" s="150"/>
      <c r="AD72" s="126" t="b">
        <v>0</v>
      </c>
    </row>
    <row r="73" ht="16.5" customHeight="1">
      <c r="G73" s="150"/>
    </row>
    <row r="74" ht="16.5" customHeight="1">
      <c r="AD74" s="126" t="b">
        <v>1</v>
      </c>
    </row>
    <row r="75" ht="16.5" customHeight="1">
      <c r="AD75" s="126" t="b">
        <v>0</v>
      </c>
    </row>
    <row r="76" ht="16.5" customHeight="1">
      <c r="AD76" s="126" t="b">
        <v>0</v>
      </c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</sheetData>
  <sheetProtection/>
  <mergeCells count="70">
    <mergeCell ref="M10:N10"/>
    <mergeCell ref="E66:F66"/>
    <mergeCell ref="B23:C23"/>
    <mergeCell ref="B25:C25"/>
    <mergeCell ref="B26:C26"/>
    <mergeCell ref="B27:C27"/>
    <mergeCell ref="B30:C30"/>
    <mergeCell ref="B31:C31"/>
    <mergeCell ref="B36:C36"/>
    <mergeCell ref="B45:C45"/>
    <mergeCell ref="T52:T53"/>
    <mergeCell ref="M52:M53"/>
    <mergeCell ref="N52:N53"/>
    <mergeCell ref="O52:O53"/>
    <mergeCell ref="Q52:Q53"/>
    <mergeCell ref="P52:P53"/>
    <mergeCell ref="R52:R53"/>
    <mergeCell ref="S52:S53"/>
    <mergeCell ref="M38:O38"/>
    <mergeCell ref="B18:C18"/>
    <mergeCell ref="N24:N25"/>
    <mergeCell ref="N20:N21"/>
    <mergeCell ref="M20:M25"/>
    <mergeCell ref="B19:C19"/>
    <mergeCell ref="B20:C20"/>
    <mergeCell ref="B21:C21"/>
    <mergeCell ref="B33:C33"/>
    <mergeCell ref="B37:C37"/>
    <mergeCell ref="N22:N23"/>
    <mergeCell ref="N27:N28"/>
    <mergeCell ref="N29:N30"/>
    <mergeCell ref="N31:N32"/>
    <mergeCell ref="M27:M32"/>
    <mergeCell ref="M35:R36"/>
    <mergeCell ref="B13:C13"/>
    <mergeCell ref="B14:C14"/>
    <mergeCell ref="B15:C15"/>
    <mergeCell ref="B17:C17"/>
    <mergeCell ref="B34:C34"/>
    <mergeCell ref="I18:J18"/>
    <mergeCell ref="I27:J27"/>
    <mergeCell ref="I32:J32"/>
    <mergeCell ref="B64:D64"/>
    <mergeCell ref="E64:F64"/>
    <mergeCell ref="B65:C65"/>
    <mergeCell ref="E65:F65"/>
    <mergeCell ref="I37:J37"/>
    <mergeCell ref="I22:J22"/>
    <mergeCell ref="B51:C51"/>
    <mergeCell ref="B39:C39"/>
    <mergeCell ref="B46:C46"/>
    <mergeCell ref="B48:C48"/>
    <mergeCell ref="B54:C54"/>
    <mergeCell ref="B59:D59"/>
    <mergeCell ref="E59:F59"/>
    <mergeCell ref="M39:M40"/>
    <mergeCell ref="B52:C52"/>
    <mergeCell ref="B53:C53"/>
    <mergeCell ref="B55:C55"/>
    <mergeCell ref="B41:C41"/>
    <mergeCell ref="I61:J61"/>
    <mergeCell ref="B60:C60"/>
    <mergeCell ref="B50:C50"/>
    <mergeCell ref="Q40:R41"/>
    <mergeCell ref="M41:M42"/>
    <mergeCell ref="M43:M44"/>
    <mergeCell ref="I58:J58"/>
    <mergeCell ref="I55:J55"/>
    <mergeCell ref="I49:J49"/>
    <mergeCell ref="I43:J43"/>
  </mergeCells>
  <conditionalFormatting sqref="M26 L27:L29 J19:K21">
    <cfRule type="cellIs" priority="1" dxfId="0" operator="equal" stopIfTrue="1">
      <formula>$D$13</formula>
    </cfRule>
  </conditionalFormatting>
  <conditionalFormatting sqref="M33 J28:J30">
    <cfRule type="cellIs" priority="2" dxfId="0" operator="equal" stopIfTrue="1">
      <formula>$D$26</formula>
    </cfRule>
  </conditionalFormatting>
  <conditionalFormatting sqref="J33:J35">
    <cfRule type="cellIs" priority="3" dxfId="0" operator="equal" stopIfTrue="1">
      <formula>$D$30</formula>
    </cfRule>
  </conditionalFormatting>
  <conditionalFormatting sqref="L22:L24 J14:K16">
    <cfRule type="cellIs" priority="4" dxfId="0" operator="equal" stopIfTrue="1">
      <formula>$D$17</formula>
    </cfRule>
  </conditionalFormatting>
  <conditionalFormatting sqref="L31:L33 J23:K25">
    <cfRule type="cellIs" priority="5" dxfId="0" operator="equal" stopIfTrue="1">
      <formula>$D$14</formula>
    </cfRule>
  </conditionalFormatting>
  <conditionalFormatting sqref="J38:J41">
    <cfRule type="cellIs" priority="6" dxfId="0" operator="equal" stopIfTrue="1">
      <formula>$D$34</formula>
    </cfRule>
  </conditionalFormatting>
  <conditionalFormatting sqref="J45">
    <cfRule type="expression" priority="7" dxfId="0" stopIfTrue="1">
      <formula>$D$30=25</formula>
    </cfRule>
  </conditionalFormatting>
  <conditionalFormatting sqref="J46">
    <cfRule type="expression" priority="8" dxfId="0" stopIfTrue="1">
      <formula>$D$30=50</formula>
    </cfRule>
  </conditionalFormatting>
  <conditionalFormatting sqref="J47">
    <cfRule type="expression" priority="9" dxfId="0" stopIfTrue="1">
      <formula>$D$30=75</formula>
    </cfRule>
  </conditionalFormatting>
  <conditionalFormatting sqref="C61">
    <cfRule type="expression" priority="10" dxfId="0" stopIfTrue="1">
      <formula>$G$61&gt;0</formula>
    </cfRule>
  </conditionalFormatting>
  <conditionalFormatting sqref="C62">
    <cfRule type="expression" priority="11" dxfId="0" stopIfTrue="1">
      <formula>$G$62&gt;0</formula>
    </cfRule>
  </conditionalFormatting>
  <conditionalFormatting sqref="J50:J51">
    <cfRule type="cellIs" priority="12" dxfId="0" operator="equal" stopIfTrue="1">
      <formula>$D$46</formula>
    </cfRule>
  </conditionalFormatting>
  <conditionalFormatting sqref="C66">
    <cfRule type="expression" priority="13" dxfId="0" stopIfTrue="1">
      <formula>$E$68&gt;0</formula>
    </cfRule>
  </conditionalFormatting>
  <conditionalFormatting sqref="L36:L38 K28:K30">
    <cfRule type="cellIs" priority="14" dxfId="0" operator="equal" stopIfTrue="1">
      <formula>$D$25</formula>
    </cfRule>
  </conditionalFormatting>
  <printOptions horizontalCentered="1"/>
  <pageMargins left="0.3937007874015748" right="0.3937007874015748" top="0.7874015748031497" bottom="0.7874015748031497" header="0.3937007874015748" footer="0.3937007874015748"/>
  <pageSetup fitToHeight="1" fitToWidth="1" horizontalDpi="600" verticalDpi="600" orientation="portrait" paperSize="9" scale="64" r:id="rId2"/>
  <ignoredErrors>
    <ignoredError sqref="O22:O24 O21 O28:O3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80.00390625" style="112" customWidth="1"/>
  </cols>
  <sheetData>
    <row r="1" s="107" customFormat="1" ht="71.25" customHeight="1">
      <c r="A1" s="119"/>
    </row>
    <row r="2" spans="1:15" ht="35.25" customHeight="1">
      <c r="A2" s="120" t="s">
        <v>66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12.75">
      <c r="A3" s="119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5" ht="12.75">
      <c r="A4" s="119" t="s">
        <v>120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</row>
    <row r="5" spans="1:15" ht="14.25" customHeight="1">
      <c r="A5" s="119" t="s">
        <v>125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2.75">
      <c r="A6" s="119" t="s">
        <v>126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2.75">
      <c r="A7" s="119" t="s">
        <v>127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28.5" customHeight="1">
      <c r="A8" s="119" t="s">
        <v>128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28.5" customHeight="1">
      <c r="A9" s="119" t="s">
        <v>129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15" ht="28.5" customHeight="1">
      <c r="A10" s="119" t="s">
        <v>130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15" ht="28.5" customHeight="1">
      <c r="A11" s="119" t="s">
        <v>131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ht="23.25">
      <c r="A12" s="119" t="s">
        <v>132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15" ht="28.5" customHeight="1">
      <c r="A13" s="119" t="s">
        <v>133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15" ht="28.5" customHeight="1">
      <c r="A14" s="119" t="s">
        <v>134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15" ht="12.75">
      <c r="A15" s="119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15" ht="12.75">
      <c r="A16" s="119" t="s">
        <v>121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15" ht="12.75">
      <c r="A17" s="119" t="s">
        <v>135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1:15" ht="28.5" customHeight="1">
      <c r="A18" s="119" t="s">
        <v>136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1:15" ht="12.75">
      <c r="A19" s="119" t="s">
        <v>137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15" ht="12.75">
      <c r="A20" s="119" t="s">
        <v>138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1:15" ht="12.75">
      <c r="A21" s="119" t="s">
        <v>139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1:15" ht="12.75">
      <c r="A22" s="119" t="s">
        <v>144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1:15" ht="12.75">
      <c r="A23" s="119" t="s">
        <v>140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  <row r="24" spans="1:15" ht="12.75">
      <c r="A24" s="119" t="s">
        <v>141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15" ht="12.75">
      <c r="A25" s="119" t="s">
        <v>142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</row>
    <row r="26" spans="1:15" ht="28.5" customHeight="1">
      <c r="A26" s="119" t="s">
        <v>143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</row>
    <row r="27" spans="1:15" ht="28.5" customHeight="1">
      <c r="A27" s="119" t="s">
        <v>122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</row>
    <row r="28" spans="1:15" ht="12.75">
      <c r="A28" s="119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</row>
    <row r="29" spans="1:15" ht="12.75">
      <c r="A29" s="118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</row>
    <row r="30" spans="1:15" ht="12.75">
      <c r="A30" s="111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</row>
  </sheetData>
  <sheetProtection/>
  <printOptions horizontalCentered="1"/>
  <pageMargins left="0.3937007874015748" right="0.3937007874015748" top="0.984251968503937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Ninguna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Martín</dc:creator>
  <cp:keywords/>
  <dc:description/>
  <cp:lastModifiedBy>LM</cp:lastModifiedBy>
  <cp:lastPrinted>2008-09-11T08:01:44Z</cp:lastPrinted>
  <dcterms:created xsi:type="dcterms:W3CDTF">2006-04-04T09:19:27Z</dcterms:created>
  <dcterms:modified xsi:type="dcterms:W3CDTF">2014-06-27T07:50:49Z</dcterms:modified>
  <cp:category/>
  <cp:version/>
  <cp:contentType/>
  <cp:contentStatus/>
</cp:coreProperties>
</file>