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Cos.patata" sheetId="1" r:id="rId1"/>
    <sheet name="Metodología" sheetId="2" r:id="rId2"/>
  </sheets>
  <definedNames>
    <definedName name="_xlnm.Print_Area" localSheetId="0">'Cos.patata'!$A$1:$K$69</definedName>
    <definedName name="_xlnm.Print_Area" localSheetId="1">'Metodología'!$A$1:$A$36</definedName>
  </definedNames>
  <calcPr fullCalcOnLoad="1"/>
</workbook>
</file>

<file path=xl/sharedStrings.xml><?xml version="1.0" encoding="utf-8"?>
<sst xmlns="http://schemas.openxmlformats.org/spreadsheetml/2006/main" count="182" uniqueCount="141">
  <si>
    <t>OPERACIÓN:</t>
  </si>
  <si>
    <t>Recolección patata</t>
  </si>
  <si>
    <t>AUXILIAR</t>
  </si>
  <si>
    <t xml:space="preserve">APERO: </t>
  </si>
  <si>
    <t>Cosechadora de patata arrastrada 2 líneas</t>
  </si>
  <si>
    <t>Número de líneas</t>
  </si>
  <si>
    <t>ud</t>
  </si>
  <si>
    <t>Eficiencia de trabajo</t>
  </si>
  <si>
    <t>Separación entre líneas</t>
  </si>
  <si>
    <t>m</t>
  </si>
  <si>
    <t>Baja</t>
  </si>
  <si>
    <t>ASAE potato harvester</t>
  </si>
  <si>
    <t>Pot (kW/m)</t>
  </si>
  <si>
    <t>añadir F(kN/m)</t>
  </si>
  <si>
    <t>v (km/h)</t>
  </si>
  <si>
    <t>P(kW/m)</t>
  </si>
  <si>
    <t>Anchura de trabajo</t>
  </si>
  <si>
    <t>Media</t>
  </si>
  <si>
    <t>Velocidad de trabajo</t>
  </si>
  <si>
    <t>km/h</t>
  </si>
  <si>
    <t>Alta</t>
  </si>
  <si>
    <t>Peso apero</t>
  </si>
  <si>
    <t>kg</t>
  </si>
  <si>
    <t>Nivel de carga de trabajo (%)</t>
  </si>
  <si>
    <t>Fuerza de tiro (ASAE)</t>
  </si>
  <si>
    <t>kN/m</t>
  </si>
  <si>
    <t>Bajo</t>
  </si>
  <si>
    <t>Potencia tracción</t>
  </si>
  <si>
    <t>kW/m</t>
  </si>
  <si>
    <t>Medio</t>
  </si>
  <si>
    <t>RESULTADOS MAPA</t>
  </si>
  <si>
    <t>Potencia a la tdf (ASAE)</t>
  </si>
  <si>
    <t>Alto</t>
  </si>
  <si>
    <t>consumos</t>
  </si>
  <si>
    <t>Potencia a la barra</t>
  </si>
  <si>
    <t>kW</t>
  </si>
  <si>
    <t>cap.trab. alta</t>
  </si>
  <si>
    <t>25 L/ha</t>
  </si>
  <si>
    <t>CV</t>
  </si>
  <si>
    <t>Nivel potencia tractor (CV)</t>
  </si>
  <si>
    <t>cap.trab. normal</t>
  </si>
  <si>
    <t>33 L/ha</t>
  </si>
  <si>
    <t>Pot a la barra i/rod+desliz</t>
  </si>
  <si>
    <t>Pequeño</t>
  </si>
  <si>
    <t>Mediano</t>
  </si>
  <si>
    <t>Hipótesis tractor auxiliar</t>
  </si>
  <si>
    <t>Capacidad trabajo teórica</t>
  </si>
  <si>
    <t>h/ha</t>
  </si>
  <si>
    <t>Grande</t>
  </si>
  <si>
    <t>Potencia tractor escogido</t>
  </si>
  <si>
    <t>Eficiencia</t>
  </si>
  <si>
    <t>Muy grande</t>
  </si>
  <si>
    <t>Costes horarios tractor auxiliar  (€/h)</t>
  </si>
  <si>
    <t>Capacidad trabajo real</t>
  </si>
  <si>
    <t>Precio adquis.</t>
  </si>
  <si>
    <t>€/kW</t>
  </si>
  <si>
    <t>ha/h</t>
  </si>
  <si>
    <t>Consumo combustible</t>
  </si>
  <si>
    <t>€</t>
  </si>
  <si>
    <t>h/año</t>
  </si>
  <si>
    <t>€/h s/comb.</t>
  </si>
  <si>
    <t>Carga</t>
  </si>
  <si>
    <t>Factor (L/h-kW)</t>
  </si>
  <si>
    <t>Amortización</t>
  </si>
  <si>
    <t>horas</t>
  </si>
  <si>
    <t>Nivel de carga del tractor</t>
  </si>
  <si>
    <t>%</t>
  </si>
  <si>
    <t>años</t>
  </si>
  <si>
    <t>Potencia tractor necesaria</t>
  </si>
  <si>
    <t>Tasa interés</t>
  </si>
  <si>
    <t>Seguros</t>
  </si>
  <si>
    <t>Tipo de tractor escogido</t>
  </si>
  <si>
    <t>Resguardo</t>
  </si>
  <si>
    <t>Mant.-Reparac</t>
  </si>
  <si>
    <t>€/L</t>
  </si>
  <si>
    <t>Cons.carga media</t>
  </si>
  <si>
    <t>L/h-kW</t>
  </si>
  <si>
    <t>COSTES DE UTILIZACIÓN</t>
  </si>
  <si>
    <t>Consumo de combustible</t>
  </si>
  <si>
    <t>L/h</t>
  </si>
  <si>
    <t>L/ha</t>
  </si>
  <si>
    <t>pot tractor CV</t>
  </si>
  <si>
    <t>nivel carga %</t>
  </si>
  <si>
    <t>pot utilizada</t>
  </si>
  <si>
    <t>P barra i/rod+desliz</t>
  </si>
  <si>
    <t>pot req. (kW/m)</t>
  </si>
  <si>
    <t>anchura max (m)</t>
  </si>
  <si>
    <t>Consumo de aceite</t>
  </si>
  <si>
    <t>Coste gasóleo</t>
  </si>
  <si>
    <t>Coste combustible</t>
  </si>
  <si>
    <t>€/h</t>
  </si>
  <si>
    <t>€/ha</t>
  </si>
  <si>
    <t>Utilización apero (h/año)</t>
  </si>
  <si>
    <t>COSTES DE POSESIÓN</t>
  </si>
  <si>
    <t>Horas trabajo anuales</t>
  </si>
  <si>
    <t>Precio adquisición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</si>
  <si>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</si>
  <si>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</si>
  <si>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</si>
  <si>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</si>
  <si>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</si>
  <si>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</si>
  <si>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</si>
  <si>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</si>
  <si>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</si>
  <si>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</si>
  <si>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 xml:space="preserve"> +combustible</t>
  </si>
  <si>
    <t>Utilización anual</t>
  </si>
  <si>
    <t>€/h s/comb</t>
  </si>
  <si>
    <t>Baja (500 h/año)</t>
  </si>
  <si>
    <t>Alta (1.000 h/año)</t>
  </si>
  <si>
    <t>Tractor + Apero</t>
  </si>
  <si>
    <t>ha/año</t>
  </si>
  <si>
    <t>Cosecha de patata con cosechadora arrastrada de dos líneas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</si>
  <si>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</si>
  <si>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</si>
  <si>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</si>
  <si>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</si>
  <si>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Número de líneas: 2</t>
  </si>
  <si>
    <t>-          Separación entre líneas: 0,8 m</t>
  </si>
  <si>
    <t>-          Anchura de trabajo: Se calcula a partir de los valores anteriores</t>
  </si>
  <si>
    <t>-          Velocidad de trabajo: Es un valor tomado de las velocidades recomendadas de trabajo</t>
  </si>
  <si>
    <t xml:space="preserve">-          Peso del apero: Estimado en 3.500 kg 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</si>
  <si>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</si>
  <si>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medio para esta operación)</t>
  </si>
  <si>
    <t>-          Fuerza de tiro: Es un valor en kN/m tomado de ASAE D497.4</t>
  </si>
  <si>
    <t>-          Potencia a la toma de fuerza: Es un valor tomado de ASAE D497.4</t>
  </si>
  <si>
    <t>-          Potencia a la barra: Se calcula como la suma de la potencia de tiro y la potencia a la toma de fuerza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</si>
  <si>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</si>
  <si>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</si>
  <si>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</si>
  <si>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</si>
  <si>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</si>
  <si>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</si>
  <si>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</si>
  <si>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</si>
  <si>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</si>
  <si>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Mantenimiento y reparaciones: 40 €/ha</t>
  </si>
  <si>
    <t>-          Precio de adquisición: Estimado en 12.000 €</t>
  </si>
  <si>
    <t>-          Coste de combustible: 1.00 €/L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</si>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</sst>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6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77" fontId="7" fillId="33" borderId="0" xfId="51" applyNumberFormat="1" applyFont="1" applyFill="1" applyBorder="1" applyAlignment="1" applyProtection="1">
      <alignment horizontal="center"/>
      <protection hidden="1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3" fontId="7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left"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 horizontal="center" wrapText="1"/>
    </xf>
    <xf numFmtId="1" fontId="7" fillId="33" borderId="0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15" fillId="33" borderId="0" xfId="0" applyNumberFormat="1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7" fillId="0" borderId="15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 hidden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5" borderId="12" xfId="0" applyFont="1" applyFill="1" applyBorder="1" applyAlignment="1">
      <alignment horizontal="center"/>
    </xf>
    <xf numFmtId="44" fontId="7" fillId="34" borderId="0" xfId="51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2" fontId="16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5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164" fontId="15" fillId="33" borderId="16" xfId="0" applyNumberFormat="1" applyFont="1" applyFill="1" applyBorder="1" applyAlignment="1" applyProtection="1">
      <alignment horizontal="center"/>
      <protection hidden="1"/>
    </xf>
    <xf numFmtId="0" fontId="14" fillId="33" borderId="17" xfId="0" applyFont="1" applyFill="1" applyBorder="1" applyAlignment="1">
      <alignment horizontal="center"/>
    </xf>
    <xf numFmtId="165" fontId="7" fillId="34" borderId="14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/>
      <protection locked="0"/>
    </xf>
    <xf numFmtId="3" fontId="16" fillId="0" borderId="15" xfId="0" applyNumberFormat="1" applyFont="1" applyFill="1" applyBorder="1" applyAlignment="1" applyProtection="1">
      <alignment horizontal="center"/>
      <protection locked="0"/>
    </xf>
    <xf numFmtId="3" fontId="16" fillId="33" borderId="0" xfId="0" applyNumberFormat="1" applyFont="1" applyFill="1" applyBorder="1" applyAlignment="1" applyProtection="1">
      <alignment horizontal="center"/>
      <protection hidden="1" locked="0"/>
    </xf>
    <xf numFmtId="3" fontId="7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16" fillId="33" borderId="0" xfId="0" applyFont="1" applyFill="1" applyBorder="1" applyAlignment="1" applyProtection="1">
      <alignment horizontal="center"/>
      <protection hidden="1" locked="0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164" fontId="16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8" xfId="0" applyFont="1" applyFill="1" applyBorder="1" applyAlignment="1">
      <alignment horizontal="center"/>
    </xf>
    <xf numFmtId="2" fontId="7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19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2" fontId="15" fillId="34" borderId="16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3" fillId="36" borderId="21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2" fontId="13" fillId="36" borderId="21" xfId="0" applyNumberFormat="1" applyFont="1" applyFill="1" applyBorder="1" applyAlignment="1" applyProtection="1">
      <alignment horizontal="center" vertical="center"/>
      <protection hidden="1"/>
    </xf>
    <xf numFmtId="2" fontId="13" fillId="36" borderId="22" xfId="0" applyNumberFormat="1" applyFont="1" applyFill="1" applyBorder="1" applyAlignment="1" applyProtection="1">
      <alignment horizontal="center" vertical="center"/>
      <protection hidden="1"/>
    </xf>
    <xf numFmtId="0" fontId="7" fillId="34" borderId="24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left"/>
    </xf>
    <xf numFmtId="0" fontId="13" fillId="36" borderId="1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5.emf" /><Relationship Id="rId13" Type="http://schemas.openxmlformats.org/officeDocument/2006/relationships/image" Target="../media/image1.emf" /><Relationship Id="rId14" Type="http://schemas.openxmlformats.org/officeDocument/2006/relationships/image" Target="../media/image13.emf" /><Relationship Id="rId1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53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2" name="Option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9716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19050</xdr:rowOff>
    </xdr:from>
    <xdr:to>
      <xdr:col>7</xdr:col>
      <xdr:colOff>276225</xdr:colOff>
      <xdr:row>15</xdr:row>
      <xdr:rowOff>9525</xdr:rowOff>
    </xdr:to>
    <xdr:pic>
      <xdr:nvPicPr>
        <xdr:cNvPr id="3" name="Option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1431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15</xdr:row>
      <xdr:rowOff>19050</xdr:rowOff>
    </xdr:from>
    <xdr:to>
      <xdr:col>7</xdr:col>
      <xdr:colOff>276225</xdr:colOff>
      <xdr:row>16</xdr:row>
      <xdr:rowOff>0</xdr:rowOff>
    </xdr:to>
    <xdr:pic>
      <xdr:nvPicPr>
        <xdr:cNvPr id="4" name="Option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3145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9525</xdr:rowOff>
    </xdr:from>
    <xdr:to>
      <xdr:col>7</xdr:col>
      <xdr:colOff>276225</xdr:colOff>
      <xdr:row>18</xdr:row>
      <xdr:rowOff>123825</xdr:rowOff>
    </xdr:to>
    <xdr:pic>
      <xdr:nvPicPr>
        <xdr:cNvPr id="5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28194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123825</xdr:rowOff>
    </xdr:from>
    <xdr:to>
      <xdr:col>7</xdr:col>
      <xdr:colOff>276225</xdr:colOff>
      <xdr:row>19</xdr:row>
      <xdr:rowOff>104775</xdr:rowOff>
    </xdr:to>
    <xdr:pic>
      <xdr:nvPicPr>
        <xdr:cNvPr id="6" name="OptionButton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2933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20</xdr:row>
      <xdr:rowOff>0</xdr:rowOff>
    </xdr:from>
    <xdr:to>
      <xdr:col>7</xdr:col>
      <xdr:colOff>276225</xdr:colOff>
      <xdr:row>20</xdr:row>
      <xdr:rowOff>114300</xdr:rowOff>
    </xdr:to>
    <xdr:pic>
      <xdr:nvPicPr>
        <xdr:cNvPr id="7" name="OptionButton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31527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19050</xdr:rowOff>
    </xdr:from>
    <xdr:to>
      <xdr:col>7</xdr:col>
      <xdr:colOff>285750</xdr:colOff>
      <xdr:row>24</xdr:row>
      <xdr:rowOff>9525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36861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24</xdr:row>
      <xdr:rowOff>19050</xdr:rowOff>
    </xdr:from>
    <xdr:to>
      <xdr:col>7</xdr:col>
      <xdr:colOff>285750</xdr:colOff>
      <xdr:row>25</xdr:row>
      <xdr:rowOff>9525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3857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25</xdr:row>
      <xdr:rowOff>19050</xdr:rowOff>
    </xdr:from>
    <xdr:to>
      <xdr:col>7</xdr:col>
      <xdr:colOff>285750</xdr:colOff>
      <xdr:row>26</xdr:row>
      <xdr:rowOff>9525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40290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26</xdr:row>
      <xdr:rowOff>19050</xdr:rowOff>
    </xdr:from>
    <xdr:to>
      <xdr:col>7</xdr:col>
      <xdr:colOff>285750</xdr:colOff>
      <xdr:row>27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1950" y="4200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9525</xdr:rowOff>
    </xdr:from>
    <xdr:to>
      <xdr:col>1</xdr:col>
      <xdr:colOff>257175</xdr:colOff>
      <xdr:row>61</xdr:row>
      <xdr:rowOff>0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101060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9525</xdr:rowOff>
    </xdr:from>
    <xdr:to>
      <xdr:col>1</xdr:col>
      <xdr:colOff>257175</xdr:colOff>
      <xdr:row>61</xdr:row>
      <xdr:rowOff>123825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0267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9525</xdr:rowOff>
    </xdr:from>
    <xdr:to>
      <xdr:col>7</xdr:col>
      <xdr:colOff>238125</xdr:colOff>
      <xdr:row>46</xdr:row>
      <xdr:rowOff>0</xdr:rowOff>
    </xdr:to>
    <xdr:pic>
      <xdr:nvPicPr>
        <xdr:cNvPr id="14" name="OptionButton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24325" y="7439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19050</xdr:rowOff>
    </xdr:from>
    <xdr:to>
      <xdr:col>7</xdr:col>
      <xdr:colOff>238125</xdr:colOff>
      <xdr:row>47</xdr:row>
      <xdr:rowOff>0</xdr:rowOff>
    </xdr:to>
    <xdr:pic>
      <xdr:nvPicPr>
        <xdr:cNvPr id="15" name="Option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24325" y="7620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5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AX204"/>
  <sheetViews>
    <sheetView showZero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1.140625" style="8" customWidth="1"/>
    <col min="4" max="4" width="11.421875" style="9" customWidth="1"/>
    <col min="5" max="5" width="6.57421875" style="9" customWidth="1"/>
    <col min="6" max="6" width="7.28125" style="8" customWidth="1"/>
    <col min="7" max="7" width="5.421875" style="10" customWidth="1"/>
    <col min="8" max="8" width="5.57421875" style="8" customWidth="1"/>
    <col min="9" max="9" width="10.28125" style="8" customWidth="1"/>
    <col min="10" max="10" width="19.28125" style="8" customWidth="1"/>
    <col min="11" max="12" width="5.7109375" style="8" customWidth="1"/>
    <col min="13" max="13" width="18.28125" style="8" hidden="1" customWidth="1"/>
    <col min="14" max="14" width="9.7109375" style="8" hidden="1" customWidth="1"/>
    <col min="15" max="15" width="9.8515625" style="8" hidden="1" customWidth="1"/>
    <col min="16" max="16" width="10.421875" style="8" hidden="1" customWidth="1"/>
    <col min="17" max="17" width="7.140625" style="8" hidden="1" customWidth="1"/>
    <col min="18" max="18" width="10.421875" style="8" hidden="1" customWidth="1"/>
    <col min="19" max="20" width="7.140625" style="8" hidden="1" customWidth="1"/>
    <col min="21" max="25" width="7.140625" style="8" customWidth="1"/>
    <col min="26" max="28" width="11.57421875" style="8" customWidth="1"/>
    <col min="29" max="29" width="11.421875" style="11" customWidth="1"/>
    <col min="30" max="16384" width="11.57421875" style="8" customWidth="1"/>
  </cols>
  <sheetData>
    <row r="1" ht="11.25" customHeight="1"/>
    <row r="2" ht="9.75" customHeight="1"/>
    <row r="3" ht="14.25"/>
    <row r="4" ht="9.75" customHeight="1"/>
    <row r="5" ht="9.75" customHeight="1"/>
    <row r="6" ht="11.25" customHeight="1"/>
    <row r="7" ht="6.75" customHeight="1"/>
    <row r="8" ht="14.25"/>
    <row r="9" spans="1:11" ht="14.25">
      <c r="A9" s="12"/>
      <c r="B9" s="13"/>
      <c r="C9" s="13"/>
      <c r="D9" s="14"/>
      <c r="E9" s="14"/>
      <c r="F9" s="13"/>
      <c r="G9" s="13"/>
      <c r="H9" s="15"/>
      <c r="I9" s="13"/>
      <c r="J9" s="13"/>
      <c r="K9" s="16"/>
    </row>
    <row r="10" spans="1:14" ht="12.75" customHeight="1">
      <c r="A10" s="17"/>
      <c r="B10" s="18"/>
      <c r="C10" s="19" t="s">
        <v>0</v>
      </c>
      <c r="D10" s="20" t="s">
        <v>1</v>
      </c>
      <c r="E10" s="21"/>
      <c r="F10" s="22"/>
      <c r="G10" s="22"/>
      <c r="H10" s="23"/>
      <c r="I10" s="18"/>
      <c r="J10" s="18"/>
      <c r="K10" s="24"/>
      <c r="M10" s="196" t="s">
        <v>2</v>
      </c>
      <c r="N10" s="197"/>
    </row>
    <row r="11" spans="1:13" ht="12.75" customHeight="1">
      <c r="A11" s="17"/>
      <c r="B11" s="18"/>
      <c r="C11" s="19" t="s">
        <v>3</v>
      </c>
      <c r="D11" s="25" t="s">
        <v>4</v>
      </c>
      <c r="E11" s="26"/>
      <c r="F11" s="26"/>
      <c r="G11" s="27"/>
      <c r="H11" s="18"/>
      <c r="I11" s="18"/>
      <c r="J11" s="18"/>
      <c r="K11" s="28"/>
      <c r="M11" s="29"/>
    </row>
    <row r="12" spans="1:50" ht="13.5">
      <c r="A12" s="17"/>
      <c r="B12" s="18"/>
      <c r="C12" s="18"/>
      <c r="D12" s="26"/>
      <c r="E12" s="26"/>
      <c r="F12" s="26"/>
      <c r="G12" s="27"/>
      <c r="H12" s="18"/>
      <c r="I12" s="18"/>
      <c r="J12" s="18"/>
      <c r="K12" s="28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ht="13.5">
      <c r="A13" s="17"/>
      <c r="B13" s="165" t="s">
        <v>5</v>
      </c>
      <c r="C13" s="166"/>
      <c r="D13" s="33">
        <v>2</v>
      </c>
      <c r="E13" s="34" t="s">
        <v>6</v>
      </c>
      <c r="F13" s="35"/>
      <c r="G13" s="18"/>
      <c r="H13" s="23"/>
      <c r="I13" s="175" t="s">
        <v>7</v>
      </c>
      <c r="J13" s="176"/>
      <c r="K13" s="36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40"/>
      <c r="AE13" s="38"/>
      <c r="AF13" s="38"/>
      <c r="AG13" s="38"/>
      <c r="AH13" s="38"/>
      <c r="AI13" s="38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3.5">
      <c r="A14" s="17"/>
      <c r="B14" s="157" t="s">
        <v>8</v>
      </c>
      <c r="C14" s="158"/>
      <c r="D14" s="43">
        <v>0.8</v>
      </c>
      <c r="E14" s="44" t="s">
        <v>9</v>
      </c>
      <c r="F14" s="45"/>
      <c r="G14" s="18"/>
      <c r="H14" s="23"/>
      <c r="I14" s="46" t="s">
        <v>10</v>
      </c>
      <c r="J14" s="47">
        <v>0.6</v>
      </c>
      <c r="K14" s="36"/>
      <c r="M14" s="177" t="s">
        <v>11</v>
      </c>
      <c r="N14" s="37" t="s">
        <v>12</v>
      </c>
      <c r="O14" s="200" t="s">
        <v>13</v>
      </c>
      <c r="P14" s="200"/>
      <c r="Q14" s="37" t="s">
        <v>14</v>
      </c>
      <c r="R14" s="37" t="s">
        <v>15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38"/>
      <c r="AE14" s="38"/>
      <c r="AF14" s="38"/>
      <c r="AG14" s="38"/>
      <c r="AH14" s="38"/>
      <c r="AI14" s="38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ht="13.5">
      <c r="A15" s="17"/>
      <c r="B15" s="157" t="s">
        <v>16</v>
      </c>
      <c r="C15" s="158"/>
      <c r="D15" s="48">
        <f>D13*D14</f>
        <v>1.6</v>
      </c>
      <c r="E15" s="44" t="s">
        <v>9</v>
      </c>
      <c r="F15" s="45"/>
      <c r="G15" s="18"/>
      <c r="H15" s="23"/>
      <c r="I15" s="46" t="s">
        <v>17</v>
      </c>
      <c r="J15" s="47">
        <v>0.7</v>
      </c>
      <c r="K15" s="36"/>
      <c r="M15" s="177"/>
      <c r="N15" s="49">
        <v>10.7</v>
      </c>
      <c r="O15" s="201">
        <v>11.6</v>
      </c>
      <c r="P15" s="201"/>
      <c r="Q15" s="51">
        <f>D16</f>
        <v>5</v>
      </c>
      <c r="R15" s="50">
        <f>O15*Q15/3.6+N15</f>
        <v>26.81111111111111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 t="b">
        <v>0</v>
      </c>
      <c r="AD15" s="38"/>
      <c r="AE15" s="38"/>
      <c r="AF15" s="38"/>
      <c r="AG15" s="38"/>
      <c r="AH15" s="38"/>
      <c r="AI15" s="38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ht="13.5">
      <c r="A16" s="17"/>
      <c r="B16" s="157" t="s">
        <v>18</v>
      </c>
      <c r="C16" s="158"/>
      <c r="D16" s="52">
        <v>5</v>
      </c>
      <c r="E16" s="44" t="s">
        <v>19</v>
      </c>
      <c r="F16" s="45"/>
      <c r="G16" s="18"/>
      <c r="H16" s="23"/>
      <c r="I16" s="46" t="s">
        <v>20</v>
      </c>
      <c r="J16" s="47">
        <v>0.8</v>
      </c>
      <c r="K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 t="b">
        <v>1</v>
      </c>
      <c r="AD16" s="38"/>
      <c r="AE16" s="38"/>
      <c r="AF16" s="38"/>
      <c r="AG16" s="38"/>
      <c r="AH16" s="38"/>
      <c r="AI16" s="38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ht="13.5">
      <c r="A17" s="17"/>
      <c r="B17" s="157" t="s">
        <v>21</v>
      </c>
      <c r="C17" s="158"/>
      <c r="D17" s="53">
        <v>3500</v>
      </c>
      <c r="E17" s="44" t="s">
        <v>22</v>
      </c>
      <c r="F17" s="45"/>
      <c r="G17" s="18"/>
      <c r="H17" s="23"/>
      <c r="I17" s="18"/>
      <c r="J17" s="18"/>
      <c r="K17" s="24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 t="b">
        <v>0</v>
      </c>
      <c r="AD17" s="40"/>
      <c r="AE17" s="38"/>
      <c r="AF17" s="38"/>
      <c r="AG17" s="38"/>
      <c r="AH17" s="38"/>
      <c r="AI17" s="38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ht="13.5">
      <c r="A18" s="17"/>
      <c r="B18" s="41"/>
      <c r="C18" s="42"/>
      <c r="D18" s="52"/>
      <c r="E18" s="44"/>
      <c r="F18" s="45"/>
      <c r="G18" s="18"/>
      <c r="H18" s="23"/>
      <c r="I18" s="175" t="s">
        <v>23</v>
      </c>
      <c r="J18" s="176"/>
      <c r="K18" s="36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38"/>
      <c r="AE18" s="38"/>
      <c r="AF18" s="38"/>
      <c r="AG18" s="38"/>
      <c r="AH18" s="38"/>
      <c r="AI18" s="38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ht="13.5">
      <c r="A19" s="17"/>
      <c r="B19" s="157" t="s">
        <v>24</v>
      </c>
      <c r="C19" s="178"/>
      <c r="D19" s="52">
        <v>11.6</v>
      </c>
      <c r="E19" s="44" t="s">
        <v>25</v>
      </c>
      <c r="F19" s="45"/>
      <c r="G19" s="18"/>
      <c r="H19" s="23"/>
      <c r="I19" s="46" t="s">
        <v>26</v>
      </c>
      <c r="J19" s="47">
        <v>25</v>
      </c>
      <c r="K19" s="36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38"/>
      <c r="AE19" s="38"/>
      <c r="AF19" s="38"/>
      <c r="AG19" s="38"/>
      <c r="AH19" s="38"/>
      <c r="AI19" s="38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ht="13.5">
      <c r="A20" s="17"/>
      <c r="B20" s="157" t="s">
        <v>27</v>
      </c>
      <c r="C20" s="158"/>
      <c r="D20" s="55">
        <f>D19*D16/3.6</f>
        <v>16.11111111111111</v>
      </c>
      <c r="E20" s="44" t="s">
        <v>28</v>
      </c>
      <c r="F20" s="45"/>
      <c r="G20" s="18"/>
      <c r="H20" s="23"/>
      <c r="I20" s="46" t="s">
        <v>29</v>
      </c>
      <c r="J20" s="47">
        <v>50</v>
      </c>
      <c r="K20" s="36"/>
      <c r="M20" s="179" t="s">
        <v>30</v>
      </c>
      <c r="N20" s="179"/>
      <c r="O20" s="37"/>
      <c r="P20" s="37"/>
      <c r="Q20" s="56"/>
      <c r="R20" s="56"/>
      <c r="S20" s="56"/>
      <c r="T20" s="38"/>
      <c r="U20" s="38"/>
      <c r="V20" s="38"/>
      <c r="W20" s="38"/>
      <c r="X20" s="38"/>
      <c r="Y20" s="38"/>
      <c r="Z20" s="38"/>
      <c r="AA20" s="38"/>
      <c r="AB20" s="38"/>
      <c r="AC20" s="39" t="b">
        <v>0</v>
      </c>
      <c r="AD20" s="38"/>
      <c r="AE20" s="38"/>
      <c r="AF20" s="38"/>
      <c r="AG20" s="38"/>
      <c r="AH20" s="38"/>
      <c r="AI20" s="38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ht="13.5">
      <c r="A21" s="17"/>
      <c r="B21" s="157" t="s">
        <v>31</v>
      </c>
      <c r="C21" s="158"/>
      <c r="D21" s="55">
        <v>10.7</v>
      </c>
      <c r="E21" s="44" t="s">
        <v>28</v>
      </c>
      <c r="F21" s="45"/>
      <c r="G21" s="18"/>
      <c r="H21" s="23"/>
      <c r="I21" s="46" t="s">
        <v>32</v>
      </c>
      <c r="J21" s="47">
        <v>75</v>
      </c>
      <c r="K21" s="36"/>
      <c r="L21" s="29"/>
      <c r="M21" s="38"/>
      <c r="N21" s="38" t="s">
        <v>33</v>
      </c>
      <c r="O21" s="37"/>
      <c r="P21" s="37"/>
      <c r="Q21" s="56"/>
      <c r="R21" s="56"/>
      <c r="S21" s="56"/>
      <c r="T21" s="38"/>
      <c r="U21" s="38"/>
      <c r="V21" s="38"/>
      <c r="W21" s="38"/>
      <c r="X21" s="38"/>
      <c r="Y21" s="38"/>
      <c r="Z21" s="38"/>
      <c r="AA21" s="38"/>
      <c r="AB21" s="38"/>
      <c r="AC21" s="39" t="b">
        <v>0</v>
      </c>
      <c r="AD21" s="38"/>
      <c r="AE21" s="38"/>
      <c r="AF21" s="38"/>
      <c r="AG21" s="38"/>
      <c r="AH21" s="38"/>
      <c r="AI21" s="38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1:50" ht="13.5">
      <c r="A22" s="17"/>
      <c r="B22" s="157" t="s">
        <v>34</v>
      </c>
      <c r="C22" s="158"/>
      <c r="D22" s="57">
        <f>D15*D21+D20*D15</f>
        <v>42.897777777777776</v>
      </c>
      <c r="E22" s="44" t="s">
        <v>35</v>
      </c>
      <c r="F22" s="45"/>
      <c r="G22" s="18"/>
      <c r="H22" s="23"/>
      <c r="I22" s="18"/>
      <c r="J22" s="18"/>
      <c r="K22" s="36"/>
      <c r="L22" s="29"/>
      <c r="M22" s="38" t="s">
        <v>36</v>
      </c>
      <c r="N22" s="37" t="s">
        <v>37</v>
      </c>
      <c r="O22" s="37"/>
      <c r="P22" s="38"/>
      <c r="Q22" s="56"/>
      <c r="R22" s="56"/>
      <c r="S22" s="56"/>
      <c r="T22" s="38"/>
      <c r="U22" s="38"/>
      <c r="V22" s="38"/>
      <c r="W22" s="38"/>
      <c r="X22" s="38"/>
      <c r="Y22" s="38"/>
      <c r="Z22" s="38"/>
      <c r="AA22" s="38"/>
      <c r="AB22" s="38"/>
      <c r="AC22" s="39" t="b">
        <v>1</v>
      </c>
      <c r="AD22" s="38"/>
      <c r="AE22" s="38"/>
      <c r="AF22" s="38"/>
      <c r="AG22" s="38"/>
      <c r="AH22" s="38"/>
      <c r="AI22" s="38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ht="13.5">
      <c r="A23" s="17"/>
      <c r="B23" s="58"/>
      <c r="C23" s="54"/>
      <c r="D23" s="57">
        <f>D22*1.36</f>
        <v>58.34097777777778</v>
      </c>
      <c r="E23" s="44" t="s">
        <v>38</v>
      </c>
      <c r="F23" s="45"/>
      <c r="G23" s="18"/>
      <c r="H23" s="23"/>
      <c r="I23" s="175" t="s">
        <v>39</v>
      </c>
      <c r="J23" s="176"/>
      <c r="K23" s="36"/>
      <c r="L23" s="29"/>
      <c r="M23" s="38" t="s">
        <v>40</v>
      </c>
      <c r="N23" s="37" t="s">
        <v>41</v>
      </c>
      <c r="O23" s="37"/>
      <c r="P23" s="37"/>
      <c r="Q23" s="56"/>
      <c r="R23" s="56"/>
      <c r="S23" s="56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8"/>
      <c r="AE23" s="38"/>
      <c r="AF23" s="38"/>
      <c r="AG23" s="38"/>
      <c r="AH23" s="38"/>
      <c r="AI23" s="38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ht="13.5">
      <c r="A24" s="17"/>
      <c r="B24" s="157" t="s">
        <v>42</v>
      </c>
      <c r="C24" s="158"/>
      <c r="D24" s="57">
        <f>D23/0.75</f>
        <v>77.78797037037037</v>
      </c>
      <c r="E24" s="44" t="s">
        <v>38</v>
      </c>
      <c r="F24" s="45"/>
      <c r="G24" s="18"/>
      <c r="H24" s="23"/>
      <c r="I24" s="59" t="s">
        <v>43</v>
      </c>
      <c r="J24" s="47">
        <v>90</v>
      </c>
      <c r="K24" s="36"/>
      <c r="L24" s="29"/>
      <c r="M24" s="37"/>
      <c r="N24" s="56"/>
      <c r="O24" s="56"/>
      <c r="P24" s="5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8"/>
      <c r="AE24" s="38"/>
      <c r="AF24" s="38"/>
      <c r="AG24" s="38"/>
      <c r="AH24" s="38"/>
      <c r="AI24" s="38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ht="13.5">
      <c r="A25" s="17"/>
      <c r="B25" s="60"/>
      <c r="C25" s="61"/>
      <c r="D25" s="57"/>
      <c r="E25" s="44"/>
      <c r="F25" s="45"/>
      <c r="G25" s="18"/>
      <c r="H25" s="23"/>
      <c r="I25" s="46" t="s">
        <v>44</v>
      </c>
      <c r="J25" s="47">
        <v>120</v>
      </c>
      <c r="K25" s="36"/>
      <c r="M25" s="198" t="s">
        <v>45</v>
      </c>
      <c r="N25" s="198"/>
      <c r="O25" s="19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 t="b">
        <v>0</v>
      </c>
      <c r="AD25" s="38"/>
      <c r="AE25" s="38"/>
      <c r="AF25" s="38"/>
      <c r="AG25" s="38"/>
      <c r="AH25" s="38"/>
      <c r="AI25" s="38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3.5">
      <c r="A26" s="17"/>
      <c r="B26" s="157" t="s">
        <v>46</v>
      </c>
      <c r="C26" s="158"/>
      <c r="D26" s="62">
        <f>10/(D16*D15)</f>
        <v>1.25</v>
      </c>
      <c r="E26" s="44" t="s">
        <v>47</v>
      </c>
      <c r="F26" s="45"/>
      <c r="G26" s="18"/>
      <c r="H26" s="23"/>
      <c r="I26" s="46" t="s">
        <v>48</v>
      </c>
      <c r="J26" s="47">
        <v>150</v>
      </c>
      <c r="K26" s="24"/>
      <c r="L26" s="29"/>
      <c r="M26" s="199" t="s">
        <v>49</v>
      </c>
      <c r="N26" s="37">
        <f>D35</f>
        <v>120</v>
      </c>
      <c r="O26" s="38" t="s">
        <v>38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 t="b">
        <v>1</v>
      </c>
      <c r="AD26" s="38"/>
      <c r="AE26" s="38"/>
      <c r="AF26" s="38"/>
      <c r="AG26" s="38"/>
      <c r="AH26" s="38"/>
      <c r="AI26" s="38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1:50" ht="13.5">
      <c r="A27" s="17"/>
      <c r="B27" s="157" t="s">
        <v>50</v>
      </c>
      <c r="C27" s="158"/>
      <c r="D27" s="52">
        <f>IF(AC15=TRUE,J14,IF(AC16=TRUE,J15,IF(AC17=TRUE,J16)))</f>
        <v>0.7</v>
      </c>
      <c r="E27" s="63"/>
      <c r="F27" s="45"/>
      <c r="G27" s="18"/>
      <c r="H27" s="23"/>
      <c r="I27" s="46" t="s">
        <v>51</v>
      </c>
      <c r="J27" s="47">
        <v>180</v>
      </c>
      <c r="K27" s="36"/>
      <c r="L27" s="29"/>
      <c r="M27" s="199"/>
      <c r="N27" s="64">
        <f>N26/1.36</f>
        <v>88.23529411764706</v>
      </c>
      <c r="O27" s="38" t="s">
        <v>35</v>
      </c>
      <c r="P27" s="65"/>
      <c r="Q27" s="162" t="s">
        <v>52</v>
      </c>
      <c r="R27" s="162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 t="b">
        <v>0</v>
      </c>
      <c r="AD27" s="38"/>
      <c r="AE27" s="38"/>
      <c r="AF27" s="38"/>
      <c r="AG27" s="38"/>
      <c r="AH27" s="38"/>
      <c r="AI27" s="38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50" ht="13.5">
      <c r="A28" s="17"/>
      <c r="B28" s="180" t="s">
        <v>53</v>
      </c>
      <c r="C28" s="181"/>
      <c r="D28" s="68">
        <f>D26/D27</f>
        <v>1.7857142857142858</v>
      </c>
      <c r="E28" s="69" t="s">
        <v>47</v>
      </c>
      <c r="F28" s="45"/>
      <c r="G28" s="18"/>
      <c r="H28" s="23"/>
      <c r="I28" s="18"/>
      <c r="J28" s="18"/>
      <c r="K28" s="36"/>
      <c r="L28" s="29"/>
      <c r="M28" s="195" t="s">
        <v>54</v>
      </c>
      <c r="N28" s="37">
        <f>+I61</f>
        <v>560</v>
      </c>
      <c r="O28" s="38" t="s">
        <v>55</v>
      </c>
      <c r="P28" s="38"/>
      <c r="Q28" s="162"/>
      <c r="R28" s="162"/>
      <c r="S28" s="65"/>
      <c r="T28" s="65"/>
      <c r="U28" s="38"/>
      <c r="V28" s="38"/>
      <c r="W28" s="38"/>
      <c r="X28" s="38"/>
      <c r="Y28" s="38"/>
      <c r="Z28" s="38"/>
      <c r="AA28" s="38"/>
      <c r="AB28" s="38"/>
      <c r="AC28" s="39" t="b">
        <v>0</v>
      </c>
      <c r="AD28" s="38"/>
      <c r="AE28" s="38"/>
      <c r="AF28" s="38"/>
      <c r="AG28" s="38"/>
      <c r="AH28" s="38"/>
      <c r="AI28" s="38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1:50" ht="13.5">
      <c r="A29" s="17"/>
      <c r="B29" s="70"/>
      <c r="C29" s="71"/>
      <c r="D29" s="68">
        <f>1/D28</f>
        <v>0.5599999999999999</v>
      </c>
      <c r="E29" s="69" t="s">
        <v>56</v>
      </c>
      <c r="F29" s="45"/>
      <c r="G29" s="18"/>
      <c r="H29" s="23"/>
      <c r="I29" s="175" t="s">
        <v>57</v>
      </c>
      <c r="J29" s="176"/>
      <c r="K29" s="36"/>
      <c r="L29" s="29"/>
      <c r="M29" s="195"/>
      <c r="N29" s="72">
        <f>N27*N28</f>
        <v>49411.76470588235</v>
      </c>
      <c r="O29" s="38" t="s">
        <v>58</v>
      </c>
      <c r="P29" s="38"/>
      <c r="Q29" s="64" t="s">
        <v>59</v>
      </c>
      <c r="R29" s="73" t="s">
        <v>60</v>
      </c>
      <c r="S29" s="64"/>
      <c r="T29" s="64"/>
      <c r="U29" s="38"/>
      <c r="V29" s="38"/>
      <c r="W29" s="38"/>
      <c r="X29" s="38"/>
      <c r="Y29" s="38"/>
      <c r="Z29" s="38"/>
      <c r="AA29" s="38"/>
      <c r="AB29" s="38"/>
      <c r="AC29" s="39"/>
      <c r="AD29" s="38"/>
      <c r="AE29" s="38"/>
      <c r="AF29" s="38"/>
      <c r="AG29" s="38"/>
      <c r="AH29" s="38"/>
      <c r="AI29" s="38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1:50" ht="13.5">
      <c r="A30" s="17"/>
      <c r="B30" s="70"/>
      <c r="C30" s="74"/>
      <c r="D30" s="52"/>
      <c r="E30" s="63"/>
      <c r="F30" s="45"/>
      <c r="G30" s="18"/>
      <c r="H30" s="23"/>
      <c r="I30" s="46" t="s">
        <v>61</v>
      </c>
      <c r="J30" s="47" t="s">
        <v>62</v>
      </c>
      <c r="K30" s="36"/>
      <c r="L30" s="29"/>
      <c r="M30" s="195" t="s">
        <v>63</v>
      </c>
      <c r="N30" s="72">
        <v>12000</v>
      </c>
      <c r="O30" s="38" t="s">
        <v>64</v>
      </c>
      <c r="P30" s="38"/>
      <c r="Q30" s="72">
        <v>500</v>
      </c>
      <c r="R30" s="64">
        <f>$N$29/$N$30+$N$29/($N$31*Q30)+($N$29*$N$32*0.6)/(Q30*100)+($N$29*(($N$33+$N$34)/(Q30*100)))+$N$27*$N$36*$N$35</f>
        <v>14.967058823529412</v>
      </c>
      <c r="S30" s="73"/>
      <c r="T30" s="73"/>
      <c r="U30" s="38"/>
      <c r="V30" s="38"/>
      <c r="W30" s="38"/>
      <c r="X30" s="38"/>
      <c r="Y30" s="38"/>
      <c r="Z30" s="38"/>
      <c r="AA30" s="38"/>
      <c r="AB30" s="38"/>
      <c r="AC30" s="39"/>
      <c r="AD30" s="38"/>
      <c r="AE30" s="38"/>
      <c r="AF30" s="38"/>
      <c r="AG30" s="38"/>
      <c r="AH30" s="38"/>
      <c r="AI30" s="38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0" ht="12.75" customHeight="1">
      <c r="A31" s="17"/>
      <c r="B31" s="157" t="s">
        <v>65</v>
      </c>
      <c r="C31" s="158"/>
      <c r="D31" s="52">
        <f>IF(AC20=TRUE,J19,IF(AC21=TRUE,J20,IF(AC22=TRUE,J21)))</f>
        <v>75</v>
      </c>
      <c r="E31" s="44" t="s">
        <v>66</v>
      </c>
      <c r="F31" s="45"/>
      <c r="G31" s="18"/>
      <c r="H31" s="18"/>
      <c r="I31" s="46" t="s">
        <v>10</v>
      </c>
      <c r="J31" s="75">
        <v>0.1</v>
      </c>
      <c r="K31" s="24"/>
      <c r="L31" s="29"/>
      <c r="M31" s="195"/>
      <c r="N31" s="37">
        <v>20</v>
      </c>
      <c r="O31" s="38" t="s">
        <v>67</v>
      </c>
      <c r="P31" s="38"/>
      <c r="Q31" s="72">
        <v>1000</v>
      </c>
      <c r="R31" s="64">
        <f>$N$29/$N$30+$N$29/($N$31*Q31)+($N$29*$N$32*0.6)/(Q31*100)+($N$29*(($N$33+$N$34)/(Q31*100)))+$N$27*$N$36*$N$35</f>
        <v>10.865882352941176</v>
      </c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9"/>
      <c r="AD31" s="38"/>
      <c r="AE31" s="38"/>
      <c r="AF31" s="38"/>
      <c r="AG31" s="38"/>
      <c r="AH31" s="38"/>
      <c r="AI31" s="38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1:50" ht="13.5">
      <c r="A32" s="17"/>
      <c r="B32" s="157" t="s">
        <v>68</v>
      </c>
      <c r="C32" s="158"/>
      <c r="D32" s="57">
        <f>D24*100/D31</f>
        <v>103.7172938271605</v>
      </c>
      <c r="E32" s="44" t="s">
        <v>38</v>
      </c>
      <c r="F32" s="45"/>
      <c r="G32" s="18"/>
      <c r="H32" s="18"/>
      <c r="I32" s="46" t="s">
        <v>17</v>
      </c>
      <c r="J32" s="75">
        <v>0.15</v>
      </c>
      <c r="K32" s="36"/>
      <c r="L32" s="29"/>
      <c r="M32" s="76" t="s">
        <v>69</v>
      </c>
      <c r="N32" s="77">
        <f>+D53</f>
        <v>5</v>
      </c>
      <c r="O32" s="38" t="s">
        <v>66</v>
      </c>
      <c r="P32" s="38"/>
      <c r="Q32" s="38"/>
      <c r="R32" s="38"/>
      <c r="S32" s="73"/>
      <c r="T32" s="73"/>
      <c r="U32" s="56"/>
      <c r="V32" s="56"/>
      <c r="W32" s="56"/>
      <c r="X32" s="56"/>
      <c r="Y32" s="56"/>
      <c r="Z32" s="56"/>
      <c r="AA32" s="56"/>
      <c r="AB32" s="38"/>
      <c r="AC32" s="39"/>
      <c r="AD32" s="38"/>
      <c r="AE32" s="38"/>
      <c r="AF32" s="38"/>
      <c r="AG32" s="38"/>
      <c r="AH32" s="38"/>
      <c r="AI32" s="38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3.5">
      <c r="A33" s="17"/>
      <c r="B33" s="60"/>
      <c r="C33" s="61"/>
      <c r="D33" s="52"/>
      <c r="E33" s="63"/>
      <c r="F33" s="45"/>
      <c r="G33" s="18"/>
      <c r="H33" s="18"/>
      <c r="I33" s="46" t="s">
        <v>20</v>
      </c>
      <c r="J33" s="75">
        <v>0.207</v>
      </c>
      <c r="K33" s="36"/>
      <c r="L33" s="29"/>
      <c r="M33" s="76" t="s">
        <v>70</v>
      </c>
      <c r="N33" s="77">
        <v>0.2</v>
      </c>
      <c r="O33" s="38" t="s">
        <v>66</v>
      </c>
      <c r="P33" s="38"/>
      <c r="Q33" s="38"/>
      <c r="R33" s="38"/>
      <c r="S33" s="73"/>
      <c r="T33" s="73"/>
      <c r="U33" s="56"/>
      <c r="V33" s="56"/>
      <c r="W33" s="56"/>
      <c r="X33" s="56"/>
      <c r="Y33" s="56"/>
      <c r="Z33" s="56"/>
      <c r="AA33" s="56"/>
      <c r="AB33" s="38"/>
      <c r="AC33" s="39"/>
      <c r="AD33" s="38"/>
      <c r="AE33" s="38"/>
      <c r="AF33" s="38"/>
      <c r="AG33" s="38"/>
      <c r="AH33" s="38"/>
      <c r="AI33" s="38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13.5">
      <c r="A34" s="17"/>
      <c r="B34" s="157" t="s">
        <v>71</v>
      </c>
      <c r="C34" s="158"/>
      <c r="D34" s="52" t="str">
        <f>IF(AC25=TRUE,"Pequeño",IF(AC26=TRUE,"Mediano",IF(AC27=TRUE,"Grande",IF(AC28=TRUE,"Muy Grande",))))</f>
        <v>Mediano</v>
      </c>
      <c r="E34" s="44"/>
      <c r="F34" s="45"/>
      <c r="G34" s="18"/>
      <c r="H34" s="18"/>
      <c r="I34" s="18"/>
      <c r="J34" s="18"/>
      <c r="K34" s="36"/>
      <c r="M34" s="76" t="s">
        <v>72</v>
      </c>
      <c r="N34" s="77">
        <v>0.1</v>
      </c>
      <c r="O34" s="38" t="s">
        <v>66</v>
      </c>
      <c r="P34" s="38"/>
      <c r="Q34" s="38"/>
      <c r="R34" s="38"/>
      <c r="S34" s="73"/>
      <c r="T34" s="64"/>
      <c r="U34" s="56"/>
      <c r="V34" s="56"/>
      <c r="W34" s="56"/>
      <c r="X34" s="56"/>
      <c r="Y34" s="56"/>
      <c r="Z34" s="56"/>
      <c r="AA34" s="56"/>
      <c r="AB34" s="38"/>
      <c r="AC34" s="39"/>
      <c r="AD34" s="38"/>
      <c r="AE34" s="38"/>
      <c r="AF34" s="38"/>
      <c r="AG34" s="38"/>
      <c r="AH34" s="38"/>
      <c r="AI34" s="38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3.5">
      <c r="A35" s="17"/>
      <c r="B35" s="169" t="s">
        <v>49</v>
      </c>
      <c r="C35" s="170"/>
      <c r="D35" s="78">
        <f>IF(AC25=TRUE,J24,IF(AC26=TRUE,J25,IF(AC27=TRUE,J26,IF(AC28=TRUE,J27,""))))</f>
        <v>120</v>
      </c>
      <c r="E35" s="79" t="s">
        <v>38</v>
      </c>
      <c r="F35" s="80"/>
      <c r="G35" s="18"/>
      <c r="H35" s="18"/>
      <c r="I35" s="18"/>
      <c r="J35" s="18"/>
      <c r="K35" s="36"/>
      <c r="L35" s="29"/>
      <c r="M35" s="81" t="s">
        <v>73</v>
      </c>
      <c r="N35" s="77">
        <v>0.2</v>
      </c>
      <c r="O35" s="82" t="s">
        <v>74</v>
      </c>
      <c r="P35" s="38"/>
      <c r="Q35" s="38"/>
      <c r="R35" s="38"/>
      <c r="S35" s="73"/>
      <c r="T35" s="73"/>
      <c r="U35" s="56"/>
      <c r="V35" s="56"/>
      <c r="W35" s="56"/>
      <c r="X35" s="56"/>
      <c r="Y35" s="56"/>
      <c r="Z35" s="56"/>
      <c r="AA35" s="56"/>
      <c r="AB35" s="38"/>
      <c r="AC35" s="39"/>
      <c r="AD35" s="38"/>
      <c r="AE35" s="38"/>
      <c r="AF35" s="38"/>
      <c r="AG35" s="38"/>
      <c r="AH35" s="38"/>
      <c r="AI35" s="38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2.75" customHeight="1">
      <c r="A36" s="17"/>
      <c r="B36" s="18"/>
      <c r="C36" s="18"/>
      <c r="D36" s="83"/>
      <c r="E36" s="21"/>
      <c r="F36" s="18"/>
      <c r="G36" s="18"/>
      <c r="H36" s="18"/>
      <c r="I36" s="18"/>
      <c r="J36" s="18"/>
      <c r="K36" s="24"/>
      <c r="L36" s="29"/>
      <c r="M36" s="81" t="s">
        <v>75</v>
      </c>
      <c r="N36" s="84">
        <v>0.15</v>
      </c>
      <c r="O36" s="82" t="s">
        <v>76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8"/>
      <c r="AE36" s="38"/>
      <c r="AF36" s="38"/>
      <c r="AG36" s="38"/>
      <c r="AH36" s="38"/>
      <c r="AI36" s="38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13.5">
      <c r="A37" s="17"/>
      <c r="B37" s="171" t="s">
        <v>77</v>
      </c>
      <c r="C37" s="172"/>
      <c r="D37" s="85"/>
      <c r="E37" s="86"/>
      <c r="F37" s="18"/>
      <c r="G37" s="18"/>
      <c r="H37" s="18"/>
      <c r="I37" s="87"/>
      <c r="J37" s="18"/>
      <c r="K37" s="36"/>
      <c r="L37" s="2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8"/>
      <c r="AE37" s="38"/>
      <c r="AF37" s="38"/>
      <c r="AG37" s="38"/>
      <c r="AH37" s="38"/>
      <c r="AI37" s="38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ht="13.5">
      <c r="A38" s="17"/>
      <c r="B38" s="157" t="s">
        <v>78</v>
      </c>
      <c r="C38" s="158"/>
      <c r="D38" s="62">
        <f>IF(D31=J19,J31*D35/1.36,IF(D31=J20,J32*D35/1.36,IF(D31=J21,J33*D35/1.36)))</f>
        <v>18.26470588235294</v>
      </c>
      <c r="E38" s="88" t="s">
        <v>79</v>
      </c>
      <c r="F38" s="18"/>
      <c r="G38" s="18"/>
      <c r="H38" s="18"/>
      <c r="I38" s="18"/>
      <c r="J38" s="18"/>
      <c r="K38" s="36"/>
      <c r="L38" s="2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8"/>
      <c r="AE38" s="38"/>
      <c r="AF38" s="38"/>
      <c r="AG38" s="38"/>
      <c r="AH38" s="38"/>
      <c r="AI38" s="38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.75" customHeight="1">
      <c r="A39" s="17"/>
      <c r="B39" s="60"/>
      <c r="C39" s="61"/>
      <c r="D39" s="62">
        <f>D38*D28</f>
        <v>32.61554621848739</v>
      </c>
      <c r="E39" s="88" t="s">
        <v>80</v>
      </c>
      <c r="F39" s="18"/>
      <c r="G39" s="18"/>
      <c r="H39" s="18"/>
      <c r="I39" s="18"/>
      <c r="J39" s="18"/>
      <c r="K39" s="36"/>
      <c r="M39" s="156" t="s">
        <v>81</v>
      </c>
      <c r="N39" s="156" t="s">
        <v>82</v>
      </c>
      <c r="O39" s="156" t="s">
        <v>83</v>
      </c>
      <c r="P39" s="156" t="s">
        <v>84</v>
      </c>
      <c r="Q39" s="156" t="s">
        <v>85</v>
      </c>
      <c r="R39" s="156" t="s">
        <v>86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38"/>
      <c r="AE39" s="38"/>
      <c r="AF39" s="38"/>
      <c r="AG39" s="38"/>
      <c r="AH39" s="38"/>
      <c r="AI39" s="38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3.5">
      <c r="A40" s="17"/>
      <c r="B40" s="157" t="s">
        <v>87</v>
      </c>
      <c r="C40" s="158"/>
      <c r="D40" s="89">
        <f>D38*0.1/100</f>
        <v>0.01826470588235294</v>
      </c>
      <c r="E40" s="88" t="s">
        <v>79</v>
      </c>
      <c r="F40" s="18"/>
      <c r="G40" s="18"/>
      <c r="H40" s="18"/>
      <c r="I40" s="18"/>
      <c r="J40" s="18"/>
      <c r="K40" s="36"/>
      <c r="M40" s="156"/>
      <c r="N40" s="156"/>
      <c r="O40" s="156"/>
      <c r="P40" s="156"/>
      <c r="Q40" s="156"/>
      <c r="R40" s="156"/>
      <c r="S40" s="38"/>
      <c r="T40" s="38"/>
      <c r="U40" s="65"/>
      <c r="V40" s="65"/>
      <c r="W40" s="65"/>
      <c r="X40" s="65"/>
      <c r="Y40" s="73"/>
      <c r="Z40" s="38"/>
      <c r="AA40" s="38"/>
      <c r="AB40" s="38"/>
      <c r="AC40" s="39"/>
      <c r="AD40" s="38"/>
      <c r="AE40" s="38"/>
      <c r="AF40" s="38"/>
      <c r="AG40" s="38"/>
      <c r="AH40" s="38"/>
      <c r="AI40" s="38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13.5">
      <c r="A41" s="17"/>
      <c r="B41" s="70"/>
      <c r="C41" s="74"/>
      <c r="D41" s="89">
        <f>D39*0.1/100</f>
        <v>0.03261554621848739</v>
      </c>
      <c r="E41" s="88" t="s">
        <v>80</v>
      </c>
      <c r="F41" s="18"/>
      <c r="G41" s="18"/>
      <c r="H41" s="18"/>
      <c r="I41" s="18"/>
      <c r="J41" s="18"/>
      <c r="K41" s="36"/>
      <c r="L41" s="29"/>
      <c r="M41" s="37">
        <v>180</v>
      </c>
      <c r="N41" s="51">
        <v>75</v>
      </c>
      <c r="O41" s="51">
        <f aca="true" t="shared" si="0" ref="O41:O52">N41/100*M41</f>
        <v>135</v>
      </c>
      <c r="P41" s="50">
        <f aca="true" t="shared" si="1" ref="P41:P52">0.75*O41</f>
        <v>101.25</v>
      </c>
      <c r="Q41" s="90">
        <f aca="true" t="shared" si="2" ref="Q41:Q52">10.7+$D$20</f>
        <v>26.81111111111111</v>
      </c>
      <c r="R41" s="90">
        <f aca="true" t="shared" si="3" ref="R41:R52">P41/(Q41*1.36)</f>
        <v>2.7767789668706273</v>
      </c>
      <c r="S41" s="38"/>
      <c r="T41" s="38"/>
      <c r="U41" s="64"/>
      <c r="V41" s="64"/>
      <c r="W41" s="64"/>
      <c r="X41" s="64"/>
      <c r="Y41" s="38"/>
      <c r="Z41" s="38"/>
      <c r="AA41" s="38"/>
      <c r="AB41" s="38"/>
      <c r="AC41" s="39"/>
      <c r="AD41" s="38"/>
      <c r="AE41" s="38"/>
      <c r="AF41" s="38"/>
      <c r="AG41" s="38"/>
      <c r="AH41" s="38"/>
      <c r="AI41" s="38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4.25" thickBot="1">
      <c r="A42" s="17"/>
      <c r="B42" s="173" t="s">
        <v>88</v>
      </c>
      <c r="C42" s="174"/>
      <c r="D42" s="91">
        <v>1</v>
      </c>
      <c r="E42" s="92" t="s">
        <v>74</v>
      </c>
      <c r="F42" s="18"/>
      <c r="G42" s="18"/>
      <c r="H42" s="18"/>
      <c r="I42" s="18"/>
      <c r="J42" s="18"/>
      <c r="K42" s="24"/>
      <c r="L42" s="29"/>
      <c r="M42" s="37">
        <v>180</v>
      </c>
      <c r="N42" s="51">
        <v>50</v>
      </c>
      <c r="O42" s="51">
        <f t="shared" si="0"/>
        <v>90</v>
      </c>
      <c r="P42" s="50">
        <f t="shared" si="1"/>
        <v>67.5</v>
      </c>
      <c r="Q42" s="90">
        <f t="shared" si="2"/>
        <v>26.81111111111111</v>
      </c>
      <c r="R42" s="90">
        <f t="shared" si="3"/>
        <v>1.8511859779137514</v>
      </c>
      <c r="S42" s="38"/>
      <c r="T42" s="38"/>
      <c r="U42" s="73"/>
      <c r="V42" s="73"/>
      <c r="W42" s="73"/>
      <c r="X42" s="73"/>
      <c r="Y42" s="38"/>
      <c r="Z42" s="38"/>
      <c r="AA42" s="38"/>
      <c r="AB42" s="38"/>
      <c r="AC42" s="39"/>
      <c r="AD42" s="38"/>
      <c r="AE42" s="38"/>
      <c r="AF42" s="38"/>
      <c r="AG42" s="38"/>
      <c r="AH42" s="38"/>
      <c r="AI42" s="38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4.25" thickTop="1">
      <c r="A43" s="17"/>
      <c r="B43" s="66" t="s">
        <v>89</v>
      </c>
      <c r="C43" s="67"/>
      <c r="D43" s="93">
        <f>D42*D38</f>
        <v>18.26470588235294</v>
      </c>
      <c r="E43" s="94" t="s">
        <v>90</v>
      </c>
      <c r="F43" s="18"/>
      <c r="G43" s="18"/>
      <c r="H43" s="18"/>
      <c r="I43" s="18"/>
      <c r="J43" s="18"/>
      <c r="K43" s="36"/>
      <c r="L43" s="29"/>
      <c r="M43" s="37">
        <v>180</v>
      </c>
      <c r="N43" s="51">
        <v>25</v>
      </c>
      <c r="O43" s="51">
        <f t="shared" si="0"/>
        <v>45</v>
      </c>
      <c r="P43" s="50">
        <f t="shared" si="1"/>
        <v>33.75</v>
      </c>
      <c r="Q43" s="90">
        <f t="shared" si="2"/>
        <v>26.81111111111111</v>
      </c>
      <c r="R43" s="90">
        <f t="shared" si="3"/>
        <v>0.9255929889568757</v>
      </c>
      <c r="S43" s="38"/>
      <c r="T43" s="38"/>
      <c r="U43" s="37"/>
      <c r="V43" s="37"/>
      <c r="W43" s="37"/>
      <c r="X43" s="37"/>
      <c r="Y43" s="38"/>
      <c r="Z43" s="38"/>
      <c r="AA43" s="38"/>
      <c r="AB43" s="38"/>
      <c r="AC43" s="39"/>
      <c r="AD43" s="38"/>
      <c r="AE43" s="38"/>
      <c r="AF43" s="38"/>
      <c r="AG43" s="38"/>
      <c r="AH43" s="38"/>
      <c r="AI43" s="38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ht="13.5">
      <c r="A44" s="17"/>
      <c r="B44" s="95"/>
      <c r="C44" s="96"/>
      <c r="D44" s="97">
        <f>D39*D42</f>
        <v>32.61554621848739</v>
      </c>
      <c r="E44" s="98" t="s">
        <v>91</v>
      </c>
      <c r="F44" s="18"/>
      <c r="G44" s="18"/>
      <c r="H44" s="18"/>
      <c r="I44" s="18"/>
      <c r="J44" s="18"/>
      <c r="K44" s="36"/>
      <c r="L44" s="29"/>
      <c r="M44" s="37">
        <v>150</v>
      </c>
      <c r="N44" s="51">
        <v>75</v>
      </c>
      <c r="O44" s="51">
        <f t="shared" si="0"/>
        <v>112.5</v>
      </c>
      <c r="P44" s="50">
        <f t="shared" si="1"/>
        <v>84.375</v>
      </c>
      <c r="Q44" s="90">
        <f t="shared" si="2"/>
        <v>26.81111111111111</v>
      </c>
      <c r="R44" s="90">
        <f t="shared" si="3"/>
        <v>2.3139824723921896</v>
      </c>
      <c r="S44" s="38"/>
      <c r="T44" s="38"/>
      <c r="U44" s="73"/>
      <c r="V44" s="73"/>
      <c r="W44" s="73"/>
      <c r="X44" s="73"/>
      <c r="Y44" s="38"/>
      <c r="Z44" s="38"/>
      <c r="AA44" s="38"/>
      <c r="AB44" s="38"/>
      <c r="AC44" s="39"/>
      <c r="AD44" s="38"/>
      <c r="AE44" s="38"/>
      <c r="AF44" s="38"/>
      <c r="AG44" s="38"/>
      <c r="AH44" s="38"/>
      <c r="AI44" s="38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ht="13.5">
      <c r="A45" s="17"/>
      <c r="B45" s="18"/>
      <c r="C45" s="18"/>
      <c r="D45" s="83"/>
      <c r="E45" s="21"/>
      <c r="F45" s="18"/>
      <c r="G45" s="18"/>
      <c r="H45" s="18"/>
      <c r="I45" s="161" t="s">
        <v>92</v>
      </c>
      <c r="J45" s="161"/>
      <c r="K45" s="99"/>
      <c r="M45" s="37">
        <v>150</v>
      </c>
      <c r="N45" s="51">
        <v>50</v>
      </c>
      <c r="O45" s="51">
        <f t="shared" si="0"/>
        <v>75</v>
      </c>
      <c r="P45" s="50">
        <f t="shared" si="1"/>
        <v>56.25</v>
      </c>
      <c r="Q45" s="90">
        <f t="shared" si="2"/>
        <v>26.81111111111111</v>
      </c>
      <c r="R45" s="90">
        <f t="shared" si="3"/>
        <v>1.542654981594793</v>
      </c>
      <c r="S45" s="38"/>
      <c r="T45" s="38"/>
      <c r="U45" s="73"/>
      <c r="V45" s="73"/>
      <c r="W45" s="73"/>
      <c r="X45" s="73"/>
      <c r="Y45" s="38"/>
      <c r="Z45" s="38"/>
      <c r="AA45" s="38"/>
      <c r="AB45" s="38"/>
      <c r="AC45" s="39"/>
      <c r="AD45" s="38"/>
      <c r="AE45" s="38"/>
      <c r="AF45" s="38"/>
      <c r="AG45" s="38"/>
      <c r="AH45" s="38"/>
      <c r="AI45" s="38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3.5">
      <c r="A46" s="17"/>
      <c r="B46" s="171" t="s">
        <v>93</v>
      </c>
      <c r="C46" s="172"/>
      <c r="D46" s="85"/>
      <c r="E46" s="100"/>
      <c r="F46" s="101"/>
      <c r="G46" s="102"/>
      <c r="H46" s="18"/>
      <c r="I46" s="46" t="s">
        <v>10</v>
      </c>
      <c r="J46" s="103">
        <v>200</v>
      </c>
      <c r="K46" s="99"/>
      <c r="M46" s="37">
        <v>150</v>
      </c>
      <c r="N46" s="51">
        <v>25</v>
      </c>
      <c r="O46" s="51">
        <f t="shared" si="0"/>
        <v>37.5</v>
      </c>
      <c r="P46" s="50">
        <f t="shared" si="1"/>
        <v>28.125</v>
      </c>
      <c r="Q46" s="90">
        <f t="shared" si="2"/>
        <v>26.81111111111111</v>
      </c>
      <c r="R46" s="90">
        <f t="shared" si="3"/>
        <v>0.7713274907973965</v>
      </c>
      <c r="S46" s="38"/>
      <c r="T46" s="38"/>
      <c r="U46" s="73"/>
      <c r="V46" s="73"/>
      <c r="W46" s="73"/>
      <c r="X46" s="73"/>
      <c r="Y46" s="38"/>
      <c r="Z46" s="38"/>
      <c r="AA46" s="38"/>
      <c r="AB46" s="38"/>
      <c r="AC46" s="39"/>
      <c r="AD46" s="38"/>
      <c r="AE46" s="38"/>
      <c r="AF46" s="38"/>
      <c r="AG46" s="38"/>
      <c r="AH46" s="38"/>
      <c r="AI46" s="38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ht="13.5">
      <c r="A47" s="17"/>
      <c r="B47" s="157" t="s">
        <v>94</v>
      </c>
      <c r="C47" s="158"/>
      <c r="D47" s="52">
        <f>IF(AC48=TRUE,J46,J47)</f>
        <v>200</v>
      </c>
      <c r="E47" s="44" t="s">
        <v>59</v>
      </c>
      <c r="F47" s="74"/>
      <c r="G47" s="45"/>
      <c r="H47" s="18"/>
      <c r="I47" s="46" t="s">
        <v>20</v>
      </c>
      <c r="J47" s="104">
        <v>300</v>
      </c>
      <c r="K47" s="99"/>
      <c r="M47" s="37">
        <v>120</v>
      </c>
      <c r="N47" s="51">
        <v>75</v>
      </c>
      <c r="O47" s="51">
        <f t="shared" si="0"/>
        <v>90</v>
      </c>
      <c r="P47" s="50">
        <f t="shared" si="1"/>
        <v>67.5</v>
      </c>
      <c r="Q47" s="90">
        <f t="shared" si="2"/>
        <v>26.81111111111111</v>
      </c>
      <c r="R47" s="90">
        <f t="shared" si="3"/>
        <v>1.8511859779137514</v>
      </c>
      <c r="S47" s="38"/>
      <c r="T47" s="38"/>
      <c r="U47" s="73"/>
      <c r="V47" s="73"/>
      <c r="W47" s="73"/>
      <c r="X47" s="73"/>
      <c r="Y47" s="38"/>
      <c r="Z47" s="38"/>
      <c r="AA47" s="38"/>
      <c r="AB47" s="38"/>
      <c r="AC47" s="39"/>
      <c r="AD47" s="38"/>
      <c r="AE47" s="38"/>
      <c r="AF47" s="38"/>
      <c r="AG47" s="38"/>
      <c r="AH47" s="38"/>
      <c r="AI47" s="38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ht="13.5">
      <c r="A48" s="17"/>
      <c r="B48" s="60"/>
      <c r="C48" s="61"/>
      <c r="D48" s="52"/>
      <c r="E48" s="63"/>
      <c r="F48" s="74"/>
      <c r="G48" s="45"/>
      <c r="H48" s="18"/>
      <c r="I48" s="18"/>
      <c r="J48" s="18"/>
      <c r="K48" s="24"/>
      <c r="M48" s="37">
        <v>120</v>
      </c>
      <c r="N48" s="51">
        <v>50</v>
      </c>
      <c r="O48" s="51">
        <f t="shared" si="0"/>
        <v>60</v>
      </c>
      <c r="P48" s="50">
        <f t="shared" si="1"/>
        <v>45</v>
      </c>
      <c r="Q48" s="90">
        <f t="shared" si="2"/>
        <v>26.81111111111111</v>
      </c>
      <c r="R48" s="90">
        <f t="shared" si="3"/>
        <v>1.2341239852758343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 t="b">
        <v>1</v>
      </c>
      <c r="AD48" s="38"/>
      <c r="AE48" s="38"/>
      <c r="AF48" s="38"/>
      <c r="AG48" s="38"/>
      <c r="AH48" s="38"/>
      <c r="AI48" s="3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3.5">
      <c r="A49" s="17"/>
      <c r="B49" s="157" t="s">
        <v>95</v>
      </c>
      <c r="C49" s="158"/>
      <c r="D49" s="105">
        <v>13000</v>
      </c>
      <c r="E49" s="44" t="s">
        <v>58</v>
      </c>
      <c r="F49" s="74"/>
      <c r="G49" s="45"/>
      <c r="H49" s="18"/>
      <c r="I49" s="18"/>
      <c r="J49" s="18"/>
      <c r="K49" s="36"/>
      <c r="M49" s="37">
        <v>120</v>
      </c>
      <c r="N49" s="51">
        <v>25</v>
      </c>
      <c r="O49" s="51">
        <f t="shared" si="0"/>
        <v>30</v>
      </c>
      <c r="P49" s="50">
        <f t="shared" si="1"/>
        <v>22.5</v>
      </c>
      <c r="Q49" s="90">
        <f t="shared" si="2"/>
        <v>26.81111111111111</v>
      </c>
      <c r="R49" s="90">
        <f t="shared" si="3"/>
        <v>0.6170619926379172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 t="b">
        <v>0</v>
      </c>
      <c r="AD49" s="38"/>
      <c r="AE49" s="38"/>
      <c r="AF49" s="38"/>
      <c r="AG49" s="38"/>
      <c r="AH49" s="38"/>
      <c r="AI49" s="38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3.5">
      <c r="A50" s="17"/>
      <c r="B50" s="70"/>
      <c r="C50" s="74"/>
      <c r="D50" s="106"/>
      <c r="E50" s="63"/>
      <c r="F50" s="74"/>
      <c r="G50" s="45"/>
      <c r="H50" s="18"/>
      <c r="I50" s="18"/>
      <c r="J50" s="18"/>
      <c r="K50" s="36"/>
      <c r="M50" s="37">
        <v>90</v>
      </c>
      <c r="N50" s="51">
        <v>75</v>
      </c>
      <c r="O50" s="51">
        <f t="shared" si="0"/>
        <v>67.5</v>
      </c>
      <c r="P50" s="50">
        <f t="shared" si="1"/>
        <v>50.625</v>
      </c>
      <c r="Q50" s="90">
        <f t="shared" si="2"/>
        <v>26.81111111111111</v>
      </c>
      <c r="R50" s="90">
        <f t="shared" si="3"/>
        <v>1.3883894834353137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38"/>
      <c r="AE50" s="38"/>
      <c r="AF50" s="38"/>
      <c r="AG50" s="38"/>
      <c r="AH50" s="38"/>
      <c r="AI50" s="38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3.5">
      <c r="A51" s="17"/>
      <c r="B51" s="167" t="s">
        <v>96</v>
      </c>
      <c r="C51" s="168"/>
      <c r="D51" s="105">
        <v>2000</v>
      </c>
      <c r="E51" s="44" t="s">
        <v>97</v>
      </c>
      <c r="F51" s="62">
        <f>+$D$49/$D51</f>
        <v>6.5</v>
      </c>
      <c r="G51" s="108" t="s">
        <v>90</v>
      </c>
      <c r="H51" s="18"/>
      <c r="I51" s="18"/>
      <c r="J51" s="18"/>
      <c r="K51" s="109"/>
      <c r="M51" s="37">
        <v>90</v>
      </c>
      <c r="N51" s="51">
        <v>50</v>
      </c>
      <c r="O51" s="51">
        <f t="shared" si="0"/>
        <v>45</v>
      </c>
      <c r="P51" s="50">
        <f t="shared" si="1"/>
        <v>33.75</v>
      </c>
      <c r="Q51" s="90">
        <f t="shared" si="2"/>
        <v>26.81111111111111</v>
      </c>
      <c r="R51" s="90">
        <f t="shared" si="3"/>
        <v>0.9255929889568757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38"/>
      <c r="AE51" s="38"/>
      <c r="AF51" s="38"/>
      <c r="AG51" s="38"/>
      <c r="AH51" s="38"/>
      <c r="AI51" s="38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3.5">
      <c r="A52" s="17"/>
      <c r="B52" s="167" t="s">
        <v>98</v>
      </c>
      <c r="C52" s="168"/>
      <c r="D52" s="110">
        <v>20</v>
      </c>
      <c r="E52" s="44" t="s">
        <v>67</v>
      </c>
      <c r="F52" s="62">
        <f>+$D$49/($D52*D47)</f>
        <v>3.25</v>
      </c>
      <c r="G52" s="108" t="s">
        <v>90</v>
      </c>
      <c r="H52" s="18"/>
      <c r="I52" s="159" t="str">
        <f>CONCATENATE("Vida útil para ",D47," h/año")</f>
        <v>Vida útil para 200 h/año</v>
      </c>
      <c r="J52" s="160"/>
      <c r="K52" s="24"/>
      <c r="M52" s="37">
        <v>90</v>
      </c>
      <c r="N52" s="51">
        <v>25</v>
      </c>
      <c r="O52" s="51">
        <f t="shared" si="0"/>
        <v>22.5</v>
      </c>
      <c r="P52" s="50">
        <f t="shared" si="1"/>
        <v>16.875</v>
      </c>
      <c r="Q52" s="90">
        <f t="shared" si="2"/>
        <v>26.81111111111111</v>
      </c>
      <c r="R52" s="90">
        <f t="shared" si="3"/>
        <v>0.46279649447843785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38"/>
      <c r="AE52" s="38"/>
      <c r="AF52" s="38"/>
      <c r="AG52" s="38"/>
      <c r="AH52" s="38"/>
      <c r="AI52" s="38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ht="13.5">
      <c r="A53" s="17"/>
      <c r="B53" s="167" t="s">
        <v>99</v>
      </c>
      <c r="C53" s="168"/>
      <c r="D53" s="110">
        <v>5</v>
      </c>
      <c r="E53" s="44" t="s">
        <v>66</v>
      </c>
      <c r="F53" s="62">
        <f>+$D$49*0.006*$D53/D47</f>
        <v>1.95</v>
      </c>
      <c r="G53" s="108" t="s">
        <v>90</v>
      </c>
      <c r="H53" s="18"/>
      <c r="I53" s="111" t="s">
        <v>97</v>
      </c>
      <c r="J53" s="112">
        <f>+$D$49/($F$51+$F$52)</f>
        <v>1333.3333333333333</v>
      </c>
      <c r="K53" s="2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38"/>
      <c r="AE53" s="38"/>
      <c r="AF53" s="38"/>
      <c r="AG53" s="38"/>
      <c r="AH53" s="38"/>
      <c r="AI53" s="38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3.5">
      <c r="A54" s="17"/>
      <c r="B54" s="167" t="s">
        <v>100</v>
      </c>
      <c r="C54" s="168"/>
      <c r="D54" s="110">
        <v>0.2</v>
      </c>
      <c r="E54" s="44" t="s">
        <v>101</v>
      </c>
      <c r="F54" s="62">
        <f>+$D$49*$D54/(100*D47)</f>
        <v>0.13</v>
      </c>
      <c r="G54" s="108" t="s">
        <v>90</v>
      </c>
      <c r="H54" s="18"/>
      <c r="I54" s="111" t="s">
        <v>67</v>
      </c>
      <c r="J54" s="113">
        <f>+$D$49/($D$47*($F$51+$F$52))</f>
        <v>6.666666666666667</v>
      </c>
      <c r="K54" s="114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38"/>
      <c r="AE54" s="38"/>
      <c r="AF54" s="38"/>
      <c r="AG54" s="38"/>
      <c r="AH54" s="38"/>
      <c r="AI54" s="38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ht="13.5">
      <c r="A55" s="17"/>
      <c r="B55" s="167" t="s">
        <v>102</v>
      </c>
      <c r="C55" s="168"/>
      <c r="D55" s="110">
        <v>0.1</v>
      </c>
      <c r="E55" s="44" t="s">
        <v>101</v>
      </c>
      <c r="F55" s="62">
        <f>+$D$49*$D55/(D47*100)</f>
        <v>0.065</v>
      </c>
      <c r="G55" s="108" t="s">
        <v>90</v>
      </c>
      <c r="H55" s="18"/>
      <c r="I55" s="18"/>
      <c r="J55" s="18"/>
      <c r="K55" s="11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38"/>
      <c r="AE55" s="38"/>
      <c r="AF55" s="38"/>
      <c r="AG55" s="38"/>
      <c r="AH55" s="38"/>
      <c r="AI55" s="38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ht="14.25" customHeight="1" thickBot="1">
      <c r="A56" s="17"/>
      <c r="B56" s="163" t="s">
        <v>103</v>
      </c>
      <c r="C56" s="164"/>
      <c r="D56" s="116">
        <v>40</v>
      </c>
      <c r="E56" s="117" t="s">
        <v>91</v>
      </c>
      <c r="F56" s="118">
        <f>+D56/D28</f>
        <v>22.4</v>
      </c>
      <c r="G56" s="119" t="s">
        <v>90</v>
      </c>
      <c r="H56" s="18"/>
      <c r="I56" s="18"/>
      <c r="J56" s="18"/>
      <c r="K56" s="120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38"/>
      <c r="AE56" s="38"/>
      <c r="AF56" s="38"/>
      <c r="AG56" s="38"/>
      <c r="AH56" s="38"/>
      <c r="AI56" s="38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ht="14.25" thickTop="1">
      <c r="A57" s="17"/>
      <c r="B57" s="70"/>
      <c r="C57" s="107" t="s">
        <v>104</v>
      </c>
      <c r="D57" s="63"/>
      <c r="E57" s="63"/>
      <c r="F57" s="62">
        <f>SUM(F51:F56)</f>
        <v>34.295</v>
      </c>
      <c r="G57" s="108" t="s">
        <v>90</v>
      </c>
      <c r="H57" s="18"/>
      <c r="I57" s="18"/>
      <c r="J57" s="18"/>
      <c r="K57" s="24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38"/>
      <c r="AE57" s="38"/>
      <c r="AF57" s="38"/>
      <c r="AG57" s="38"/>
      <c r="AH57" s="38"/>
      <c r="AI57" s="38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13.5">
      <c r="A58" s="17"/>
      <c r="B58" s="121"/>
      <c r="C58" s="122"/>
      <c r="D58" s="123"/>
      <c r="E58" s="123"/>
      <c r="F58" s="124">
        <f>+F57*D28</f>
        <v>61.24107142857144</v>
      </c>
      <c r="G58" s="125" t="s">
        <v>91</v>
      </c>
      <c r="H58" s="18"/>
      <c r="I58" s="18"/>
      <c r="J58" s="18"/>
      <c r="K58" s="24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38"/>
      <c r="AE58" s="38"/>
      <c r="AF58" s="38"/>
      <c r="AG58" s="38"/>
      <c r="AH58" s="38"/>
      <c r="AI58" s="3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3.5">
      <c r="A59" s="17"/>
      <c r="B59" s="193" t="s">
        <v>105</v>
      </c>
      <c r="C59" s="193"/>
      <c r="D59" s="193"/>
      <c r="E59" s="186" t="s">
        <v>106</v>
      </c>
      <c r="F59" s="186"/>
      <c r="G59" s="126"/>
      <c r="H59" s="127"/>
      <c r="I59" s="127"/>
      <c r="J59" s="18"/>
      <c r="K59" s="24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38"/>
      <c r="AE59" s="38"/>
      <c r="AF59" s="38"/>
      <c r="AG59" s="38"/>
      <c r="AH59" s="38"/>
      <c r="AI59" s="38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9.5" customHeight="1">
      <c r="A60" s="17"/>
      <c r="B60" s="189" t="s">
        <v>107</v>
      </c>
      <c r="C60" s="190"/>
      <c r="D60" s="128" t="s">
        <v>108</v>
      </c>
      <c r="E60" s="129" t="s">
        <v>90</v>
      </c>
      <c r="F60" s="129" t="s">
        <v>91</v>
      </c>
      <c r="G60" s="126"/>
      <c r="H60" s="127"/>
      <c r="I60" s="194" t="s">
        <v>116</v>
      </c>
      <c r="J60" s="194"/>
      <c r="K60" s="24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38"/>
      <c r="AE60" s="38"/>
      <c r="AF60" s="38"/>
      <c r="AG60" s="38"/>
      <c r="AH60" s="38"/>
      <c r="AI60" s="38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2.75" customHeight="1">
      <c r="A61" s="17"/>
      <c r="B61" s="130"/>
      <c r="C61" s="130" t="s">
        <v>109</v>
      </c>
      <c r="D61" s="131">
        <f>R30+D43</f>
        <v>33.23176470588235</v>
      </c>
      <c r="E61" s="132">
        <f>IF(AC68=TRUE,D61+D43,D61*0)</f>
        <v>51.49647058823528</v>
      </c>
      <c r="F61" s="133">
        <f>E61*$D$28</f>
        <v>91.9579831932773</v>
      </c>
      <c r="G61" s="134">
        <f>IF(AC68=TRUE,F61,F61*0)</f>
        <v>91.9579831932773</v>
      </c>
      <c r="H61" s="127"/>
      <c r="I61" s="135">
        <v>560</v>
      </c>
      <c r="J61" s="59" t="s">
        <v>117</v>
      </c>
      <c r="K61" s="24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38"/>
      <c r="AE61" s="38"/>
      <c r="AF61" s="38"/>
      <c r="AG61" s="38"/>
      <c r="AH61" s="38"/>
      <c r="AI61" s="38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3.5">
      <c r="A62" s="17"/>
      <c r="B62" s="130"/>
      <c r="C62" s="130" t="s">
        <v>110</v>
      </c>
      <c r="D62" s="131">
        <f>R31+D43</f>
        <v>29.130588235294113</v>
      </c>
      <c r="E62" s="133">
        <f>IF(AC69=TRUE,D62+D43,D62*0)</f>
        <v>0</v>
      </c>
      <c r="F62" s="133">
        <f>E62*$D$28</f>
        <v>0</v>
      </c>
      <c r="G62" s="134">
        <f>IF(AC69=TRUE,F62,F62*0)</f>
        <v>0</v>
      </c>
      <c r="H62" s="127"/>
      <c r="I62" s="127"/>
      <c r="J62" s="18"/>
      <c r="K62" s="24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38"/>
      <c r="AE62" s="38"/>
      <c r="AF62" s="38"/>
      <c r="AG62" s="38"/>
      <c r="AH62" s="38"/>
      <c r="AI62" s="38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3.5">
      <c r="A63" s="17"/>
      <c r="B63" s="18"/>
      <c r="C63" s="136"/>
      <c r="D63" s="21"/>
      <c r="E63" s="19"/>
      <c r="F63" s="137"/>
      <c r="G63" s="126"/>
      <c r="H63" s="127"/>
      <c r="I63" s="127"/>
      <c r="J63" s="18"/>
      <c r="K63" s="24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38"/>
      <c r="AE63" s="38"/>
      <c r="AF63" s="38"/>
      <c r="AG63" s="38"/>
      <c r="AH63" s="38"/>
      <c r="AI63" s="38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ht="13.5">
      <c r="A64" s="17"/>
      <c r="B64" s="191" t="s">
        <v>111</v>
      </c>
      <c r="C64" s="191"/>
      <c r="D64" s="191"/>
      <c r="E64" s="192" t="s">
        <v>104</v>
      </c>
      <c r="F64" s="192"/>
      <c r="G64" s="138"/>
      <c r="H64" s="18"/>
      <c r="I64" s="18"/>
      <c r="J64" s="18"/>
      <c r="K64" s="24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3.5">
      <c r="A65" s="17"/>
      <c r="B65" s="187" t="s">
        <v>107</v>
      </c>
      <c r="C65" s="188"/>
      <c r="D65" s="139" t="s">
        <v>112</v>
      </c>
      <c r="E65" s="182" t="s">
        <v>91</v>
      </c>
      <c r="F65" s="183"/>
      <c r="G65" s="23"/>
      <c r="H65" s="18"/>
      <c r="I65" s="18"/>
      <c r="J65" s="18"/>
      <c r="K65" s="24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3.5">
      <c r="A66" s="17"/>
      <c r="B66" s="46"/>
      <c r="C66" s="46" t="str">
        <f>IF(D47=J46,"Baja","Alta")</f>
        <v>Baja</v>
      </c>
      <c r="D66" s="140">
        <f>D47*D29</f>
        <v>111.99999999999999</v>
      </c>
      <c r="E66" s="184">
        <f>+F58+$G$61+$G$62</f>
        <v>153.19905462184875</v>
      </c>
      <c r="F66" s="185" t="e">
        <f>$D$26*($D$47/$D$49)+$D$47/($D$50*D66*$D$26)+(($D$47*0.006*$D$51)/(D66*$D$26))+$D$47*($D$52+$D$53)/(100*D66*$D$26)+($D$54/$D$26)+$D$72</f>
        <v>#DIV/0!</v>
      </c>
      <c r="G66" s="23"/>
      <c r="H66" s="18"/>
      <c r="I66" s="18"/>
      <c r="J66" s="18"/>
      <c r="K66" s="2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3.5">
      <c r="A67" s="17"/>
      <c r="B67" s="18"/>
      <c r="C67" s="18"/>
      <c r="D67" s="83"/>
      <c r="E67" s="83"/>
      <c r="F67" s="141"/>
      <c r="G67" s="23"/>
      <c r="H67" s="18"/>
      <c r="I67" s="18"/>
      <c r="J67" s="18"/>
      <c r="K67" s="24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2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3.5">
      <c r="A68" s="17"/>
      <c r="B68" s="18"/>
      <c r="C68" s="142"/>
      <c r="D68" s="21"/>
      <c r="E68" s="21"/>
      <c r="F68" s="143"/>
      <c r="G68" s="138"/>
      <c r="H68" s="18"/>
      <c r="I68" s="18"/>
      <c r="J68" s="18"/>
      <c r="K68" s="28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2" t="b">
        <v>1</v>
      </c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3.5">
      <c r="A69" s="144"/>
      <c r="B69" s="145"/>
      <c r="C69" s="145"/>
      <c r="D69" s="146"/>
      <c r="E69" s="146"/>
      <c r="F69" s="147"/>
      <c r="G69" s="148"/>
      <c r="H69" s="145"/>
      <c r="I69" s="145"/>
      <c r="J69" s="145"/>
      <c r="K69" s="14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2" t="b">
        <v>0</v>
      </c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ht="12.75" customHeight="1">
      <c r="A70" s="31"/>
      <c r="B70" s="31"/>
      <c r="C70" s="31"/>
      <c r="D70" s="150"/>
      <c r="E70" s="150"/>
      <c r="F70" s="31"/>
      <c r="H70" s="31"/>
      <c r="I70" s="31"/>
      <c r="J70" s="31"/>
      <c r="K70" s="15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2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ht="13.5">
      <c r="A71" s="31"/>
      <c r="B71" s="31"/>
      <c r="C71" s="31"/>
      <c r="D71" s="150"/>
      <c r="E71" s="150"/>
      <c r="F71" s="31"/>
      <c r="H71" s="31"/>
      <c r="I71" s="31"/>
      <c r="J71" s="31"/>
      <c r="K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2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3:50" ht="13.5">
      <c r="C72" s="152"/>
      <c r="D72" s="150"/>
      <c r="E72" s="153"/>
      <c r="F72" s="154"/>
      <c r="G72" s="155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4:50" ht="13.5">
      <c r="D73" s="150"/>
      <c r="E73" s="153"/>
      <c r="F73" s="154"/>
      <c r="G73" s="155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 t="b">
        <v>1</v>
      </c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3:50" ht="13.5"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 t="b">
        <v>0</v>
      </c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3:50" ht="13.5"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2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3:50" ht="13.5"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3:50" ht="13.5"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3:50" ht="13.5"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2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3:50" ht="13.5"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2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3:50" ht="13.5"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2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3:50" ht="13.5"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2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3:50" ht="13.5"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3:50" ht="13.5"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3:50" ht="13.5"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3:50" ht="13.5"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2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3:50" ht="13.5"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2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3:50" ht="13.5"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2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3:50" ht="13.5"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2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3:50" ht="13.5"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2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3:50" ht="13.5"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2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3:50" ht="13.5"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2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3:50" ht="13.5"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3:50" ht="13.5"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3:50" ht="13.5"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3:50" ht="13.5"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2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3:50" ht="13.5"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2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3:50" ht="13.5"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2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3:50" ht="13.5"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2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3:50" ht="13.5"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2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3:50" ht="13.5"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2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3:50" ht="13.5"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2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3:50" ht="13.5"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3:50" ht="13.5"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3:50" ht="13.5"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3:50" ht="13.5"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2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3:50" ht="13.5"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2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3:50" ht="13.5"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2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3:50" ht="13.5"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2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3:50" ht="13.5"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2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3:50" ht="13.5"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2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3:50" ht="13.5"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2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3:50" ht="13.5"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13:50" ht="13.5"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13:50" ht="13.5"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13:50" ht="13.5"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2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13:50" ht="13.5"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2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13:50" ht="13.5"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2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13:50" ht="13.5"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2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13:50" ht="13.5"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2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13:50" ht="13.5"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13:50" ht="13.5"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2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13:50" ht="13.5"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13:50" ht="13.5"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13:50" ht="13.5"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13:50" ht="13.5"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2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13:50" ht="13.5"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13:50" ht="13.5"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2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13:50" ht="13.5"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2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13:50" ht="13.5"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2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13:50" ht="13.5"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2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13:50" ht="13.5"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2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13:50" ht="13.5"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13:50" ht="13.5"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13:50" ht="13.5"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13:50" ht="13.5"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2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13:50" ht="13.5"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2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13:50" ht="13.5"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2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13:50" ht="13.5"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2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13:50" ht="13.5"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2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13:50" ht="13.5"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13:50" ht="13.5"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2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13:50" ht="13.5"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13:50" ht="13.5"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13:50" ht="13.5"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13:50" ht="13.5"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2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</row>
    <row r="146" spans="13:50" ht="13.5"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2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</row>
    <row r="147" spans="13:50" ht="13.5"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2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</row>
    <row r="148" spans="13:50" ht="13.5"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2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</row>
    <row r="149" spans="13:50" ht="13.5"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2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 spans="13:50" ht="13.5"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2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 spans="13:50" ht="13.5"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2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</row>
    <row r="152" spans="13:50" ht="13.5"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</row>
    <row r="153" spans="13:50" ht="13.5"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 spans="13:50" ht="13.5"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</row>
    <row r="155" spans="13:50" ht="13.5"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2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</row>
    <row r="156" spans="13:50" ht="13.5"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2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</row>
    <row r="157" spans="13:50" ht="13.5"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2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</row>
    <row r="158" spans="13:50" ht="13.5"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2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</row>
    <row r="159" spans="13:50" ht="13.5"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2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</row>
    <row r="160" spans="13:50" ht="13.5"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2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 spans="13:50" ht="13.5"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2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 spans="13:50" ht="13.5"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 spans="13:50" ht="13.5"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 spans="13:50" ht="13.5"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</row>
    <row r="165" spans="13:50" ht="13.5"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2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</row>
    <row r="166" spans="13:50" ht="13.5"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2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</row>
    <row r="167" spans="13:50" ht="13.5"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2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</row>
    <row r="168" spans="13:50" ht="13.5"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</row>
    <row r="169" spans="13:50" ht="13.5"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2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</row>
    <row r="170" spans="13:50" ht="13.5"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2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</row>
    <row r="171" spans="13:50" ht="13.5"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2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</row>
    <row r="172" spans="13:50" ht="13.5"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 spans="13:50" ht="13.5"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</row>
    <row r="174" spans="13:50" ht="13.5"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</row>
    <row r="175" spans="13:50" ht="13.5"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2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  <row r="176" spans="13:50" ht="13.5"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2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</row>
    <row r="177" spans="13:50" ht="13.5"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2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</row>
    <row r="178" spans="13:50" ht="13.5"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2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</row>
    <row r="179" spans="13:50" ht="13.5"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2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</row>
    <row r="180" spans="13:50" ht="13.5"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2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 spans="13:50" ht="13.5"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2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</row>
    <row r="182" spans="13:50" ht="13.5"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 spans="13:50" ht="13.5"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</row>
    <row r="184" spans="13:50" ht="13.5"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</row>
    <row r="185" spans="13:50" ht="13.5"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2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</row>
    <row r="186" spans="13:50" ht="13.5"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2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</row>
    <row r="187" spans="13:50" ht="13.5"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2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</row>
    <row r="188" spans="13:50" ht="13.5"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2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</row>
    <row r="189" spans="13:50" ht="13.5"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2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</row>
    <row r="190" spans="13:50" ht="13.5"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2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</row>
    <row r="191" spans="13:50" ht="13.5"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2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</row>
    <row r="192" spans="13:50" ht="13.5"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</row>
    <row r="193" spans="13:50" ht="13.5"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</row>
    <row r="194" spans="13:50" ht="13.5"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</row>
    <row r="195" spans="13:50" ht="13.5"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2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</row>
    <row r="196" spans="13:50" ht="13.5"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2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</row>
    <row r="197" spans="13:50" ht="13.5"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2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</row>
    <row r="198" spans="13:50" ht="13.5"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2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</row>
    <row r="199" spans="13:50" ht="13.5"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2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</row>
    <row r="200" spans="13:50" ht="13.5"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2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</row>
    <row r="201" spans="13:50" ht="13.5"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2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</row>
    <row r="202" spans="13:50" ht="13.5"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</row>
    <row r="203" spans="13:50" ht="13.5"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</row>
    <row r="204" spans="13:50" ht="13.5"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</row>
  </sheetData>
  <sheetProtection/>
  <mergeCells count="61">
    <mergeCell ref="I29:J29"/>
    <mergeCell ref="B59:D59"/>
    <mergeCell ref="I60:J60"/>
    <mergeCell ref="M28:M29"/>
    <mergeCell ref="M30:M31"/>
    <mergeCell ref="M10:N10"/>
    <mergeCell ref="M25:O25"/>
    <mergeCell ref="M26:M27"/>
    <mergeCell ref="O14:P14"/>
    <mergeCell ref="O15:P15"/>
    <mergeCell ref="I13:J13"/>
    <mergeCell ref="B21:C21"/>
    <mergeCell ref="B22:C22"/>
    <mergeCell ref="B26:C26"/>
    <mergeCell ref="E65:F65"/>
    <mergeCell ref="E66:F66"/>
    <mergeCell ref="E59:F59"/>
    <mergeCell ref="B65:C65"/>
    <mergeCell ref="B60:C60"/>
    <mergeCell ref="B64:D64"/>
    <mergeCell ref="E64:F64"/>
    <mergeCell ref="B19:C19"/>
    <mergeCell ref="M20:N20"/>
    <mergeCell ref="B17:C17"/>
    <mergeCell ref="B28:C28"/>
    <mergeCell ref="B38:C38"/>
    <mergeCell ref="B37:C37"/>
    <mergeCell ref="B31:C31"/>
    <mergeCell ref="B32:C32"/>
    <mergeCell ref="B27:C27"/>
    <mergeCell ref="B24:C24"/>
    <mergeCell ref="B46:C46"/>
    <mergeCell ref="B42:C42"/>
    <mergeCell ref="M39:M40"/>
    <mergeCell ref="B40:C40"/>
    <mergeCell ref="B15:C15"/>
    <mergeCell ref="I23:J23"/>
    <mergeCell ref="M14:M15"/>
    <mergeCell ref="B16:C16"/>
    <mergeCell ref="B14:C14"/>
    <mergeCell ref="I18:J18"/>
    <mergeCell ref="B56:C56"/>
    <mergeCell ref="B13:C13"/>
    <mergeCell ref="B47:C47"/>
    <mergeCell ref="B49:C49"/>
    <mergeCell ref="B51:C51"/>
    <mergeCell ref="B54:C54"/>
    <mergeCell ref="B53:C53"/>
    <mergeCell ref="B35:C35"/>
    <mergeCell ref="B52:C52"/>
    <mergeCell ref="B55:C55"/>
    <mergeCell ref="Q39:Q40"/>
    <mergeCell ref="R39:R40"/>
    <mergeCell ref="B20:C20"/>
    <mergeCell ref="I52:J52"/>
    <mergeCell ref="I45:J45"/>
    <mergeCell ref="N39:N40"/>
    <mergeCell ref="O39:O40"/>
    <mergeCell ref="P39:P40"/>
    <mergeCell ref="B34:C34"/>
    <mergeCell ref="Q27:R28"/>
  </mergeCells>
  <conditionalFormatting sqref="C62">
    <cfRule type="expression" priority="1" dxfId="0" stopIfTrue="1">
      <formula>$G$62&gt;0</formula>
    </cfRule>
  </conditionalFormatting>
  <conditionalFormatting sqref="C61">
    <cfRule type="expression" priority="2" dxfId="0" stopIfTrue="1">
      <formula>$G$61&gt;0</formula>
    </cfRule>
  </conditionalFormatting>
  <conditionalFormatting sqref="J24:J27">
    <cfRule type="cellIs" priority="3" dxfId="0" operator="equal" stopIfTrue="1">
      <formula>$D$35</formula>
    </cfRule>
  </conditionalFormatting>
  <conditionalFormatting sqref="J19:J21">
    <cfRule type="cellIs" priority="4" dxfId="0" operator="equal" stopIfTrue="1">
      <formula>$D$31</formula>
    </cfRule>
  </conditionalFormatting>
  <conditionalFormatting sqref="J14:J16">
    <cfRule type="cellIs" priority="5" dxfId="0" operator="equal" stopIfTrue="1">
      <formula>$D$27</formula>
    </cfRule>
  </conditionalFormatting>
  <conditionalFormatting sqref="J31">
    <cfRule type="expression" priority="6" dxfId="0" stopIfTrue="1">
      <formula>$D$31=25</formula>
    </cfRule>
  </conditionalFormatting>
  <conditionalFormatting sqref="J32">
    <cfRule type="expression" priority="7" dxfId="0" stopIfTrue="1">
      <formula>$D$31=50</formula>
    </cfRule>
  </conditionalFormatting>
  <conditionalFormatting sqref="J33">
    <cfRule type="expression" priority="8" dxfId="0" stopIfTrue="1">
      <formula>$D$31=75</formula>
    </cfRule>
  </conditionalFormatting>
  <conditionalFormatting sqref="J46:J47">
    <cfRule type="cellIs" priority="9" dxfId="0" operator="equal" stopIfTrue="1">
      <formula>$D$47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9" sqref="A9: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4"/>
    </row>
    <row r="8" spans="1:15" ht="12.75">
      <c r="A8" s="5" t="s">
        <v>113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4" t="s">
        <v>114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4" t="s">
        <v>118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>
      <c r="A12" s="4" t="s">
        <v>119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>
      <c r="A13" s="4" t="s">
        <v>120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4" t="s">
        <v>121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 t="s">
        <v>122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8.5" customHeight="1">
      <c r="A16" s="4" t="s">
        <v>123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4" t="s">
        <v>124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125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>
      <c r="A20" s="4" t="s">
        <v>127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8.5" customHeight="1">
      <c r="A21" s="4" t="s">
        <v>128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8.5" customHeight="1">
      <c r="A22" s="4" t="s">
        <v>129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7" t="s">
        <v>139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4" t="s">
        <v>130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" t="s">
        <v>138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4" t="s">
        <v>131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 t="s">
        <v>132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7" t="s">
        <v>140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4" t="s">
        <v>133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4" t="s">
        <v>134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4" t="s">
        <v>137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8.5" customHeight="1">
      <c r="A34" s="4" t="s">
        <v>135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42.75" customHeight="1">
      <c r="A35" s="4" t="s">
        <v>136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2008-09-10T12:35:00Z</cp:lastPrinted>
  <dcterms:created xsi:type="dcterms:W3CDTF">2008-02-01T12:24:04Z</dcterms:created>
  <dcterms:modified xsi:type="dcterms:W3CDTF">2014-06-27T08:46:53Z</dcterms:modified>
  <cp:category/>
  <cp:version/>
  <cp:contentType/>
  <cp:contentStatus/>
</cp:coreProperties>
</file>